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autoCompressPictures="0" defaultThemeVersion="124226"/>
  <xr:revisionPtr revIDLastSave="0" documentId="13_ncr:1_{50C04305-A8C1-46B3-A276-C36DA720B24C}" xr6:coauthVersionLast="47" xr6:coauthVersionMax="47" xr10:uidLastSave="{00000000-0000-0000-0000-000000000000}"/>
  <bookViews>
    <workbookView xWindow="420" yWindow="456" windowWidth="21192" windowHeight="11748" activeTab="1" xr2:uid="{00000000-000D-0000-FFFF-FFFF00000000}"/>
  </bookViews>
  <sheets>
    <sheet name="NPA" sheetId="2" r:id="rId1"/>
    <sheet name="ISSF" sheetId="1" r:id="rId2"/>
    <sheet name="PPC" sheetId="3" r:id="rId3"/>
  </sheets>
  <definedNames>
    <definedName name="_xlnm.Print_Area" localSheetId="1">ISSF!$A$130:$Q$219</definedName>
    <definedName name="_xlnm.Print_Area" localSheetId="0">NPA!$A$133:$S$334</definedName>
    <definedName name="_xlnm.Print_Area" localSheetId="2">PPC!$A$73:$Q$120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" i="3" l="1"/>
  <c r="N328" i="2"/>
  <c r="N327" i="2"/>
  <c r="Q327" i="2"/>
  <c r="R327" i="2"/>
  <c r="O327" i="2"/>
  <c r="N326" i="2"/>
  <c r="L282" i="2"/>
  <c r="N282" i="2"/>
  <c r="L281" i="2"/>
  <c r="N281" i="2"/>
  <c r="L280" i="2"/>
  <c r="N280" i="2"/>
  <c r="L286" i="2"/>
  <c r="N286" i="2"/>
  <c r="O286" i="2"/>
  <c r="M286" i="2"/>
  <c r="N188" i="2"/>
  <c r="Q188" i="2"/>
  <c r="R188" i="2"/>
  <c r="O157" i="2"/>
  <c r="N180" i="2"/>
  <c r="Q180" i="2"/>
  <c r="R180" i="2"/>
  <c r="O180" i="2"/>
  <c r="O140" i="2"/>
  <c r="N140" i="2"/>
  <c r="N102" i="1"/>
  <c r="O102" i="1"/>
  <c r="P102" i="1"/>
  <c r="O65" i="2"/>
  <c r="N65" i="2"/>
  <c r="N104" i="1"/>
  <c r="O104" i="1"/>
  <c r="P104" i="1"/>
  <c r="M305" i="2"/>
  <c r="Q305" i="2"/>
  <c r="L305" i="2"/>
  <c r="N127" i="2"/>
  <c r="O127" i="2"/>
  <c r="N166" i="3"/>
  <c r="Q166" i="3"/>
  <c r="N165" i="3"/>
  <c r="Q165" i="3"/>
  <c r="Q164" i="3"/>
  <c r="N163" i="3"/>
  <c r="Q163" i="3"/>
  <c r="N162" i="3"/>
  <c r="Q162" i="3"/>
  <c r="O155" i="3"/>
  <c r="P155" i="3"/>
  <c r="N151" i="3"/>
  <c r="O157" i="3"/>
  <c r="O156" i="3"/>
  <c r="O154" i="3"/>
  <c r="O153" i="3"/>
  <c r="O152" i="3"/>
  <c r="O151" i="3"/>
  <c r="N157" i="3"/>
  <c r="N156" i="3"/>
  <c r="N155" i="3"/>
  <c r="N152" i="3"/>
  <c r="N154" i="3"/>
  <c r="N153" i="3"/>
  <c r="N76" i="2"/>
  <c r="N78" i="2"/>
  <c r="Q78" i="2"/>
  <c r="R78" i="2"/>
  <c r="O78" i="2"/>
  <c r="M94" i="3"/>
  <c r="P94" i="3"/>
  <c r="L94" i="3"/>
  <c r="N94" i="3"/>
  <c r="O94" i="3"/>
  <c r="M100" i="3"/>
  <c r="P100" i="3"/>
  <c r="L99" i="3"/>
  <c r="L100" i="3"/>
  <c r="N100" i="3"/>
  <c r="O100" i="3"/>
  <c r="M92" i="3"/>
  <c r="P92" i="3"/>
  <c r="L92" i="3"/>
  <c r="N92" i="3"/>
  <c r="O92" i="3"/>
  <c r="M99" i="3"/>
  <c r="P99" i="3"/>
  <c r="L102" i="3"/>
  <c r="N99" i="3"/>
  <c r="O99" i="3"/>
  <c r="N88" i="2"/>
  <c r="N89" i="2"/>
  <c r="Q89" i="2"/>
  <c r="R89" i="2"/>
  <c r="O89" i="2"/>
  <c r="M282" i="2"/>
  <c r="Q282" i="2"/>
  <c r="O282" i="2"/>
  <c r="M283" i="2"/>
  <c r="Q283" i="2"/>
  <c r="L283" i="2"/>
  <c r="N283" i="2"/>
  <c r="O283" i="2"/>
  <c r="M134" i="3"/>
  <c r="P134" i="3"/>
  <c r="L136" i="3"/>
  <c r="L134" i="3"/>
  <c r="N134" i="3"/>
  <c r="O134" i="3"/>
  <c r="L145" i="3"/>
  <c r="M145" i="3"/>
  <c r="N145" i="3"/>
  <c r="O145" i="3"/>
  <c r="M131" i="3"/>
  <c r="P131" i="3"/>
  <c r="L131" i="3"/>
  <c r="N131" i="3"/>
  <c r="O131" i="3"/>
  <c r="O158" i="2"/>
  <c r="T158" i="2"/>
  <c r="N157" i="2"/>
  <c r="N158" i="2"/>
  <c r="Q158" i="2"/>
  <c r="R158" i="2"/>
  <c r="N192" i="2"/>
  <c r="Q192" i="2"/>
  <c r="R192" i="2"/>
  <c r="O192" i="2"/>
  <c r="N99" i="2"/>
  <c r="N113" i="2"/>
  <c r="Q113" i="2"/>
  <c r="R113" i="2"/>
  <c r="O113" i="2"/>
  <c r="Q88" i="2"/>
  <c r="R88" i="2"/>
  <c r="O88" i="2"/>
  <c r="O80" i="2"/>
  <c r="P157" i="3"/>
  <c r="P156" i="3"/>
  <c r="P154" i="3"/>
  <c r="P153" i="3"/>
  <c r="P151" i="3"/>
  <c r="P152" i="3"/>
  <c r="N91" i="2"/>
  <c r="Q91" i="2"/>
  <c r="R91" i="2"/>
  <c r="O91" i="2"/>
  <c r="N195" i="2"/>
  <c r="Q195" i="2"/>
  <c r="R195" i="2"/>
  <c r="O195" i="2"/>
  <c r="N72" i="2"/>
  <c r="N77" i="2"/>
  <c r="Q77" i="2"/>
  <c r="R77" i="2"/>
  <c r="O77" i="2"/>
  <c r="N145" i="2"/>
  <c r="N144" i="2"/>
  <c r="Q144" i="2"/>
  <c r="R144" i="2"/>
  <c r="N143" i="2"/>
  <c r="O144" i="2"/>
  <c r="N142" i="2"/>
  <c r="Q143" i="2"/>
  <c r="R143" i="2"/>
  <c r="O143" i="2"/>
  <c r="N80" i="2"/>
  <c r="Q76" i="2"/>
  <c r="R76" i="2"/>
  <c r="O76" i="2"/>
  <c r="N27" i="2"/>
  <c r="N28" i="2"/>
  <c r="Q27" i="2"/>
  <c r="R27" i="2"/>
  <c r="O27" i="2"/>
  <c r="N19" i="2"/>
  <c r="Q19" i="2"/>
  <c r="R19" i="2"/>
  <c r="O19" i="2"/>
  <c r="N17" i="2"/>
  <c r="Q17" i="2"/>
  <c r="R17" i="2"/>
  <c r="O17" i="2"/>
  <c r="N111" i="1"/>
  <c r="N114" i="1"/>
  <c r="O114" i="1"/>
  <c r="P114" i="1"/>
  <c r="O111" i="1"/>
  <c r="P111" i="1"/>
  <c r="L291" i="2"/>
  <c r="N291" i="2"/>
  <c r="O291" i="2"/>
  <c r="L290" i="2"/>
  <c r="N290" i="2"/>
  <c r="O290" i="2"/>
  <c r="L289" i="2"/>
  <c r="N289" i="2"/>
  <c r="O289" i="2"/>
  <c r="L288" i="2"/>
  <c r="N288" i="2"/>
  <c r="O288" i="2"/>
  <c r="L287" i="2"/>
  <c r="N287" i="2"/>
  <c r="O287" i="2"/>
  <c r="L284" i="2"/>
  <c r="O280" i="2"/>
  <c r="O79" i="2"/>
  <c r="T79" i="2"/>
  <c r="N79" i="2"/>
  <c r="Q79" i="2"/>
  <c r="R79" i="2"/>
  <c r="M254" i="2"/>
  <c r="Q254" i="2"/>
  <c r="M250" i="2"/>
  <c r="Q250" i="2"/>
  <c r="L250" i="2"/>
  <c r="N250" i="2"/>
  <c r="O250" i="2"/>
  <c r="M287" i="2"/>
  <c r="M290" i="2"/>
  <c r="Q290" i="2"/>
  <c r="N66" i="1"/>
  <c r="N70" i="1"/>
  <c r="O66" i="1"/>
  <c r="P66" i="1"/>
  <c r="N135" i="1"/>
  <c r="J135" i="1"/>
  <c r="O135" i="1"/>
  <c r="P135" i="1"/>
  <c r="Q135" i="1"/>
  <c r="N170" i="1"/>
  <c r="J170" i="1"/>
  <c r="O170" i="1"/>
  <c r="P170" i="1"/>
  <c r="Q170" i="1"/>
  <c r="O22" i="2"/>
  <c r="O20" i="2"/>
  <c r="T20" i="2"/>
  <c r="N22" i="2"/>
  <c r="Q22" i="2"/>
  <c r="R22" i="2"/>
  <c r="O26" i="2"/>
  <c r="T26" i="2"/>
  <c r="N26" i="2"/>
  <c r="Q26" i="2"/>
  <c r="R26" i="2"/>
  <c r="O153" i="2"/>
  <c r="O155" i="2"/>
  <c r="T155" i="2"/>
  <c r="N153" i="2"/>
  <c r="Q153" i="2"/>
  <c r="R153" i="2"/>
  <c r="O142" i="2"/>
  <c r="T142" i="2"/>
  <c r="Q142" i="2"/>
  <c r="R142" i="2"/>
  <c r="O188" i="2"/>
  <c r="O193" i="2"/>
  <c r="T193" i="2"/>
  <c r="N160" i="1"/>
  <c r="J160" i="1"/>
  <c r="O160" i="1"/>
  <c r="N163" i="1"/>
  <c r="J163" i="1"/>
  <c r="O163" i="1"/>
  <c r="P163" i="1"/>
  <c r="Q163" i="1"/>
  <c r="K24" i="1"/>
  <c r="L24" i="1"/>
  <c r="M24" i="1"/>
  <c r="O216" i="1"/>
  <c r="M244" i="2"/>
  <c r="Q244" i="2"/>
  <c r="L245" i="2"/>
  <c r="L244" i="2"/>
  <c r="N244" i="2"/>
  <c r="O244" i="2"/>
  <c r="K22" i="1"/>
  <c r="N206" i="2"/>
  <c r="Q206" i="2"/>
  <c r="R206" i="2"/>
  <c r="O206" i="2"/>
  <c r="N219" i="2"/>
  <c r="N218" i="2"/>
  <c r="N217" i="2"/>
  <c r="N215" i="2"/>
  <c r="Q215" i="2"/>
  <c r="R215" i="2"/>
  <c r="O215" i="2"/>
  <c r="L254" i="2"/>
  <c r="L253" i="2"/>
  <c r="N253" i="2"/>
  <c r="O253" i="2"/>
  <c r="M253" i="2"/>
  <c r="O96" i="2"/>
  <c r="O102" i="2"/>
  <c r="O101" i="2"/>
  <c r="T101" i="2"/>
  <c r="N97" i="2"/>
  <c r="N96" i="2"/>
  <c r="Q96" i="2"/>
  <c r="R96" i="2"/>
  <c r="N116" i="2"/>
  <c r="N114" i="2"/>
  <c r="N101" i="2"/>
  <c r="Q101" i="2"/>
  <c r="R101" i="2"/>
  <c r="O43" i="2"/>
  <c r="O48" i="2"/>
  <c r="N43" i="2"/>
  <c r="Q43" i="2"/>
  <c r="R43" i="2"/>
  <c r="O37" i="2"/>
  <c r="O53" i="2"/>
  <c r="T53" i="2"/>
  <c r="N37" i="2"/>
  <c r="Q37" i="2"/>
  <c r="R37" i="2"/>
  <c r="O51" i="2"/>
  <c r="O54" i="2"/>
  <c r="T54" i="2"/>
  <c r="N51" i="2"/>
  <c r="N47" i="2"/>
  <c r="Q47" i="2"/>
  <c r="R47" i="2"/>
  <c r="M251" i="2"/>
  <c r="Q251" i="2"/>
  <c r="L255" i="2"/>
  <c r="N254" i="2"/>
  <c r="O254" i="2"/>
  <c r="M252" i="2"/>
  <c r="Q252" i="2"/>
  <c r="L251" i="2"/>
  <c r="N251" i="2"/>
  <c r="O251" i="2"/>
  <c r="M289" i="2"/>
  <c r="M280" i="2"/>
  <c r="L276" i="2"/>
  <c r="N276" i="2"/>
  <c r="O276" i="2"/>
  <c r="M276" i="2"/>
  <c r="M281" i="2"/>
  <c r="Q281" i="2"/>
  <c r="N71" i="1"/>
  <c r="N68" i="1"/>
  <c r="N57" i="1"/>
  <c r="O57" i="1"/>
  <c r="P57" i="1"/>
  <c r="K81" i="1"/>
  <c r="K83" i="1"/>
  <c r="K80" i="1"/>
  <c r="K78" i="1"/>
  <c r="K79" i="1"/>
  <c r="K88" i="1"/>
  <c r="K84" i="1"/>
  <c r="K87" i="1"/>
  <c r="K85" i="1"/>
  <c r="K86" i="1"/>
  <c r="K82" i="1"/>
  <c r="N209" i="2"/>
  <c r="Q209" i="2"/>
  <c r="R209" i="2"/>
  <c r="O209" i="2"/>
  <c r="O181" i="2"/>
  <c r="O182" i="2"/>
  <c r="T182" i="2"/>
  <c r="N181" i="2"/>
  <c r="Q181" i="2"/>
  <c r="R181" i="2"/>
  <c r="O161" i="2"/>
  <c r="T161" i="2"/>
  <c r="N162" i="2"/>
  <c r="N161" i="2"/>
  <c r="Q161" i="2"/>
  <c r="R161" i="2"/>
  <c r="O141" i="2"/>
  <c r="N141" i="2"/>
  <c r="O71" i="2"/>
  <c r="T71" i="2"/>
  <c r="N71" i="2"/>
  <c r="Q71" i="2"/>
  <c r="R71" i="2"/>
  <c r="O50" i="2"/>
  <c r="O44" i="2"/>
  <c r="O40" i="2"/>
  <c r="O38" i="2"/>
  <c r="T38" i="2"/>
  <c r="N44" i="2"/>
  <c r="Q44" i="2"/>
  <c r="R44" i="2"/>
  <c r="O207" i="2"/>
  <c r="N188" i="1"/>
  <c r="J188" i="1"/>
  <c r="O188" i="1"/>
  <c r="P188" i="1"/>
  <c r="Q188" i="1"/>
  <c r="O95" i="2"/>
  <c r="O116" i="2"/>
  <c r="T116" i="2"/>
  <c r="O115" i="2"/>
  <c r="T115" i="2"/>
  <c r="O100" i="2"/>
  <c r="O114" i="2"/>
  <c r="T114" i="2"/>
  <c r="O112" i="2"/>
  <c r="T112" i="2"/>
  <c r="O111" i="2"/>
  <c r="T111" i="2"/>
  <c r="O110" i="2"/>
  <c r="T110" i="2"/>
  <c r="O109" i="2"/>
  <c r="T109" i="2"/>
  <c r="O108" i="2"/>
  <c r="T108" i="2"/>
  <c r="O107" i="2"/>
  <c r="T107" i="2"/>
  <c r="O106" i="2"/>
  <c r="T106" i="2"/>
  <c r="O105" i="2"/>
  <c r="T105" i="2"/>
  <c r="O104" i="2"/>
  <c r="T104" i="2"/>
  <c r="O103" i="2"/>
  <c r="T103" i="2"/>
  <c r="T102" i="2"/>
  <c r="O97" i="2"/>
  <c r="O99" i="2"/>
  <c r="T99" i="2"/>
  <c r="O98" i="2"/>
  <c r="T98" i="2"/>
  <c r="T97" i="2"/>
  <c r="T96" i="2"/>
  <c r="T95" i="2"/>
  <c r="O94" i="2"/>
  <c r="T94" i="2"/>
  <c r="O93" i="2"/>
  <c r="T93" i="2"/>
  <c r="O92" i="2"/>
  <c r="T92" i="2"/>
  <c r="O90" i="2"/>
  <c r="T91" i="2"/>
  <c r="O81" i="2"/>
  <c r="O87" i="2"/>
  <c r="T87" i="2"/>
  <c r="O86" i="2"/>
  <c r="T86" i="2"/>
  <c r="O85" i="2"/>
  <c r="T85" i="2"/>
  <c r="O84" i="2"/>
  <c r="T84" i="2"/>
  <c r="O83" i="2"/>
  <c r="T83" i="2"/>
  <c r="O82" i="2"/>
  <c r="T82" i="2"/>
  <c r="T81" i="2"/>
  <c r="T80" i="2"/>
  <c r="O75" i="2"/>
  <c r="T75" i="2"/>
  <c r="O74" i="2"/>
  <c r="T74" i="2"/>
  <c r="O73" i="2"/>
  <c r="T73" i="2"/>
  <c r="O72" i="2"/>
  <c r="T72" i="2"/>
  <c r="O70" i="2"/>
  <c r="T70" i="2"/>
  <c r="O69" i="2"/>
  <c r="T69" i="2"/>
  <c r="O68" i="2"/>
  <c r="T68" i="2"/>
  <c r="O67" i="2"/>
  <c r="T67" i="2"/>
  <c r="O66" i="2"/>
  <c r="T66" i="2"/>
  <c r="N100" i="2"/>
  <c r="N98" i="2"/>
  <c r="Q98" i="2"/>
  <c r="R98" i="2"/>
  <c r="Q328" i="2"/>
  <c r="O328" i="2"/>
  <c r="T328" i="2"/>
  <c r="R328" i="2"/>
  <c r="O196" i="2"/>
  <c r="O197" i="2"/>
  <c r="T197" i="2"/>
  <c r="N196" i="2"/>
  <c r="Q196" i="2"/>
  <c r="R196" i="2"/>
  <c r="O150" i="2"/>
  <c r="O152" i="2"/>
  <c r="T153" i="2"/>
  <c r="N150" i="2"/>
  <c r="Q150" i="2"/>
  <c r="R150" i="2"/>
  <c r="O138" i="2"/>
  <c r="O139" i="2"/>
  <c r="O42" i="2"/>
  <c r="O49" i="2"/>
  <c r="N42" i="2"/>
  <c r="Q42" i="2"/>
  <c r="R42" i="2"/>
  <c r="O25" i="2"/>
  <c r="O29" i="2"/>
  <c r="O28" i="2"/>
  <c r="T28" i="2"/>
  <c r="N25" i="2"/>
  <c r="Q25" i="2"/>
  <c r="R25" i="2"/>
  <c r="M129" i="3"/>
  <c r="P129" i="3"/>
  <c r="L129" i="3"/>
  <c r="N129" i="3"/>
  <c r="O129" i="3"/>
  <c r="M91" i="3"/>
  <c r="P91" i="3"/>
  <c r="L91" i="3"/>
  <c r="N91" i="3"/>
  <c r="O91" i="3"/>
  <c r="M235" i="2"/>
  <c r="M245" i="2"/>
  <c r="Q245" i="2"/>
  <c r="L242" i="2"/>
  <c r="L235" i="2"/>
  <c r="N235" i="2"/>
  <c r="O235" i="2"/>
  <c r="N182" i="2"/>
  <c r="Q182" i="2"/>
  <c r="R182" i="2"/>
  <c r="N139" i="2"/>
  <c r="N59" i="1"/>
  <c r="O59" i="1"/>
  <c r="P59" i="1"/>
  <c r="N60" i="1"/>
  <c r="O60" i="1"/>
  <c r="P60" i="1"/>
  <c r="N58" i="1"/>
  <c r="O58" i="1"/>
  <c r="P58" i="1"/>
  <c r="N159" i="1"/>
  <c r="J159" i="1"/>
  <c r="O159" i="1"/>
  <c r="N69" i="1"/>
  <c r="N64" i="1"/>
  <c r="O64" i="1"/>
  <c r="P64" i="1"/>
  <c r="M242" i="2"/>
  <c r="M243" i="2"/>
  <c r="Q243" i="2"/>
  <c r="L243" i="2"/>
  <c r="N242" i="2"/>
  <c r="O242" i="2"/>
  <c r="O198" i="2"/>
  <c r="T196" i="2"/>
  <c r="N198" i="2"/>
  <c r="Q198" i="2"/>
  <c r="R198" i="2"/>
  <c r="O151" i="2"/>
  <c r="T151" i="2"/>
  <c r="N151" i="2"/>
  <c r="Q151" i="2"/>
  <c r="R151" i="2"/>
  <c r="O24" i="2"/>
  <c r="T25" i="2"/>
  <c r="N24" i="2"/>
  <c r="Q24" i="2"/>
  <c r="R24" i="2"/>
  <c r="N81" i="2"/>
  <c r="Q81" i="2"/>
  <c r="R81" i="2"/>
  <c r="B167" i="3"/>
  <c r="B158" i="3"/>
  <c r="B147" i="3"/>
  <c r="B138" i="3"/>
  <c r="B104" i="3"/>
  <c r="B64" i="3"/>
  <c r="B30" i="3"/>
  <c r="B169" i="3"/>
  <c r="B218" i="1"/>
  <c r="B208" i="1"/>
  <c r="B191" i="1"/>
  <c r="B173" i="1"/>
  <c r="B138" i="1"/>
  <c r="B116" i="1"/>
  <c r="B106" i="1"/>
  <c r="B97" i="1"/>
  <c r="B89" i="1"/>
  <c r="B72" i="1"/>
  <c r="B35" i="1"/>
  <c r="B220" i="1"/>
  <c r="B333" i="2"/>
  <c r="B309" i="2"/>
  <c r="B292" i="2"/>
  <c r="B261" i="2"/>
  <c r="B224" i="2"/>
  <c r="B173" i="2"/>
  <c r="B131" i="2"/>
  <c r="B117" i="2"/>
  <c r="B57" i="2"/>
  <c r="B335" i="2"/>
  <c r="J165" i="1"/>
  <c r="O81" i="1"/>
  <c r="P81" i="1"/>
  <c r="O83" i="1"/>
  <c r="P83" i="1"/>
  <c r="O80" i="1"/>
  <c r="P80" i="1"/>
  <c r="O78" i="1"/>
  <c r="P78" i="1"/>
  <c r="O79" i="1"/>
  <c r="P79" i="1"/>
  <c r="O88" i="1"/>
  <c r="P88" i="1"/>
  <c r="O84" i="1"/>
  <c r="P84" i="1"/>
  <c r="O87" i="1"/>
  <c r="P87" i="1"/>
  <c r="O85" i="1"/>
  <c r="P85" i="1"/>
  <c r="O86" i="1"/>
  <c r="P86" i="1"/>
  <c r="O82" i="1"/>
  <c r="P82" i="1"/>
  <c r="N169" i="2"/>
  <c r="N168" i="2"/>
  <c r="N167" i="2"/>
  <c r="Q167" i="2"/>
  <c r="N166" i="2"/>
  <c r="N165" i="2"/>
  <c r="Q165" i="2"/>
  <c r="N170" i="2"/>
  <c r="Q168" i="2"/>
  <c r="N171" i="2"/>
  <c r="Q169" i="2"/>
  <c r="N172" i="2"/>
  <c r="Q172" i="2"/>
  <c r="Q171" i="2"/>
  <c r="Q166" i="2"/>
  <c r="Q170" i="2"/>
  <c r="M259" i="2"/>
  <c r="Q259" i="2"/>
  <c r="M258" i="2"/>
  <c r="Q258" i="2"/>
  <c r="M257" i="2"/>
  <c r="Q257" i="2"/>
  <c r="M249" i="2"/>
  <c r="M256" i="2"/>
  <c r="Q256" i="2"/>
  <c r="M255" i="2"/>
  <c r="Q255" i="2"/>
  <c r="M248" i="2"/>
  <c r="Q253" i="2"/>
  <c r="Q249" i="2"/>
  <c r="M247" i="2"/>
  <c r="Q248" i="2"/>
  <c r="Q247" i="2"/>
  <c r="M246" i="2"/>
  <c r="Q246" i="2"/>
  <c r="Q242" i="2"/>
  <c r="R167" i="2"/>
  <c r="R165" i="2"/>
  <c r="R168" i="2"/>
  <c r="R169" i="2"/>
  <c r="R172" i="2"/>
  <c r="R171" i="2"/>
  <c r="R166" i="2"/>
  <c r="R170" i="2"/>
  <c r="T43" i="2"/>
  <c r="N53" i="2"/>
  <c r="Q53" i="2"/>
  <c r="R53" i="2"/>
  <c r="K28" i="1"/>
  <c r="L28" i="1"/>
  <c r="M28" i="1"/>
  <c r="O201" i="2"/>
  <c r="O199" i="2"/>
  <c r="T199" i="2"/>
  <c r="N202" i="2"/>
  <c r="N201" i="2"/>
  <c r="Q201" i="2"/>
  <c r="R201" i="2"/>
  <c r="N113" i="1"/>
  <c r="O113" i="1"/>
  <c r="P113" i="1"/>
  <c r="N189" i="1"/>
  <c r="J189" i="1"/>
  <c r="O189" i="1"/>
  <c r="P189" i="1"/>
  <c r="Q189" i="1"/>
  <c r="N167" i="1"/>
  <c r="J167" i="1"/>
  <c r="O167" i="1"/>
  <c r="P167" i="1"/>
  <c r="Q167" i="1"/>
  <c r="L203" i="1"/>
  <c r="M203" i="1"/>
  <c r="N203" i="1"/>
  <c r="N134" i="1"/>
  <c r="J134" i="1"/>
  <c r="O134" i="1"/>
  <c r="P134" i="1"/>
  <c r="Q134" i="1"/>
  <c r="M90" i="3"/>
  <c r="L90" i="3"/>
  <c r="O129" i="2"/>
  <c r="T129" i="2"/>
  <c r="N130" i="2"/>
  <c r="N129" i="2"/>
  <c r="Q129" i="2"/>
  <c r="R129" i="2"/>
  <c r="O45" i="2"/>
  <c r="T45" i="2"/>
  <c r="N48" i="2"/>
  <c r="O156" i="2"/>
  <c r="O154" i="2"/>
  <c r="N159" i="2"/>
  <c r="N156" i="2"/>
  <c r="Q156" i="2"/>
  <c r="R156" i="2"/>
  <c r="O52" i="2"/>
  <c r="T44" i="2"/>
  <c r="N54" i="2"/>
  <c r="Q54" i="2"/>
  <c r="R54" i="2"/>
  <c r="N65" i="1"/>
  <c r="N63" i="1"/>
  <c r="O63" i="1"/>
  <c r="P63" i="1"/>
  <c r="O169" i="2"/>
  <c r="M166" i="3"/>
  <c r="M165" i="3"/>
  <c r="M162" i="3"/>
  <c r="M164" i="3"/>
  <c r="O162" i="3"/>
  <c r="M163" i="3"/>
  <c r="M307" i="2"/>
  <c r="Q307" i="2"/>
  <c r="L306" i="2"/>
  <c r="L307" i="2"/>
  <c r="N307" i="2"/>
  <c r="O307" i="2"/>
  <c r="O331" i="2"/>
  <c r="T331" i="2"/>
  <c r="N329" i="2"/>
  <c r="N331" i="2"/>
  <c r="Q331" i="2"/>
  <c r="R331" i="2"/>
  <c r="N61" i="1"/>
  <c r="N67" i="1"/>
  <c r="O68" i="1"/>
  <c r="P68" i="1"/>
  <c r="N158" i="1"/>
  <c r="J158" i="1"/>
  <c r="O158" i="1"/>
  <c r="M130" i="3"/>
  <c r="P130" i="3"/>
  <c r="L130" i="3"/>
  <c r="N130" i="3"/>
  <c r="O130" i="3"/>
  <c r="M89" i="3"/>
  <c r="L89" i="3"/>
  <c r="M277" i="2"/>
  <c r="Q280" i="2"/>
  <c r="M278" i="2"/>
  <c r="Q278" i="2"/>
  <c r="L277" i="2"/>
  <c r="O281" i="2"/>
  <c r="N221" i="2"/>
  <c r="N220" i="2"/>
  <c r="Q217" i="2"/>
  <c r="R217" i="2"/>
  <c r="O217" i="2"/>
  <c r="O172" i="2"/>
  <c r="T42" i="2"/>
  <c r="N52" i="2"/>
  <c r="Q52" i="2"/>
  <c r="R52" i="2"/>
  <c r="N102" i="2"/>
  <c r="N103" i="2"/>
  <c r="Q103" i="2"/>
  <c r="R103" i="2"/>
  <c r="O41" i="2"/>
  <c r="T41" i="2"/>
  <c r="N50" i="2"/>
  <c r="N46" i="2"/>
  <c r="Q46" i="2"/>
  <c r="R46" i="2"/>
  <c r="M95" i="3"/>
  <c r="P95" i="3"/>
  <c r="L95" i="3"/>
  <c r="N95" i="3"/>
  <c r="O95" i="3"/>
  <c r="M279" i="2"/>
  <c r="Q277" i="2"/>
  <c r="L279" i="2"/>
  <c r="N279" i="2"/>
  <c r="O279" i="2"/>
  <c r="O204" i="2"/>
  <c r="O200" i="2"/>
  <c r="T200" i="2"/>
  <c r="N199" i="2"/>
  <c r="N204" i="2"/>
  <c r="Q204" i="2"/>
  <c r="R204" i="2"/>
  <c r="O145" i="2"/>
  <c r="T145" i="2"/>
  <c r="Q145" i="2"/>
  <c r="R145" i="2"/>
  <c r="T29" i="2"/>
  <c r="N29" i="2"/>
  <c r="Q28" i="2"/>
  <c r="R28" i="2"/>
  <c r="L247" i="2"/>
  <c r="N247" i="2"/>
  <c r="O247" i="2"/>
  <c r="T40" i="2"/>
  <c r="N40" i="2"/>
  <c r="Q40" i="2"/>
  <c r="R40" i="2"/>
  <c r="N165" i="1"/>
  <c r="O165" i="1"/>
  <c r="P165" i="1"/>
  <c r="Q165" i="1"/>
  <c r="M135" i="3"/>
  <c r="P135" i="3"/>
  <c r="L135" i="3"/>
  <c r="N135" i="3"/>
  <c r="O135" i="3"/>
  <c r="M285" i="2"/>
  <c r="Q285" i="2"/>
  <c r="L256" i="2"/>
  <c r="N255" i="2"/>
  <c r="O255" i="2"/>
  <c r="T224" i="2"/>
  <c r="O223" i="2"/>
  <c r="T223" i="2"/>
  <c r="N216" i="2"/>
  <c r="N223" i="2"/>
  <c r="Q223" i="2"/>
  <c r="R223" i="2"/>
  <c r="O222" i="2"/>
  <c r="T222" i="2"/>
  <c r="N222" i="2"/>
  <c r="Q222" i="2"/>
  <c r="R222" i="2"/>
  <c r="O221" i="2"/>
  <c r="T221" i="2"/>
  <c r="N207" i="2"/>
  <c r="Q207" i="2"/>
  <c r="R207" i="2"/>
  <c r="O210" i="2"/>
  <c r="O220" i="2"/>
  <c r="T220" i="2"/>
  <c r="N211" i="2"/>
  <c r="N210" i="2"/>
  <c r="Q210" i="2"/>
  <c r="R210" i="2"/>
  <c r="O214" i="2"/>
  <c r="O219" i="2"/>
  <c r="T219" i="2"/>
  <c r="Q221" i="2"/>
  <c r="R221" i="2"/>
  <c r="O212" i="2"/>
  <c r="O218" i="2"/>
  <c r="T218" i="2"/>
  <c r="N214" i="2"/>
  <c r="N213" i="2"/>
  <c r="N212" i="2"/>
  <c r="Q212" i="2"/>
  <c r="R212" i="2"/>
  <c r="T217" i="2"/>
  <c r="Q220" i="2"/>
  <c r="R220" i="2"/>
  <c r="O211" i="2"/>
  <c r="O216" i="2"/>
  <c r="T216" i="2"/>
  <c r="Q214" i="2"/>
  <c r="R214" i="2"/>
  <c r="O213" i="2"/>
  <c r="T215" i="2"/>
  <c r="Q219" i="2"/>
  <c r="R219" i="2"/>
  <c r="O208" i="2"/>
  <c r="T214" i="2"/>
  <c r="N208" i="2"/>
  <c r="Q208" i="2"/>
  <c r="R208" i="2"/>
  <c r="T211" i="2"/>
  <c r="Q218" i="2"/>
  <c r="R218" i="2"/>
  <c r="T210" i="2"/>
  <c r="Q211" i="2"/>
  <c r="R211" i="2"/>
  <c r="Q213" i="2"/>
  <c r="R213" i="2"/>
  <c r="T206" i="2"/>
  <c r="Q216" i="2"/>
  <c r="R216" i="2"/>
  <c r="O205" i="2"/>
  <c r="T205" i="2"/>
  <c r="N200" i="2"/>
  <c r="Q200" i="2"/>
  <c r="R200" i="2"/>
  <c r="O202" i="2"/>
  <c r="T204" i="2"/>
  <c r="Q199" i="2"/>
  <c r="R199" i="2"/>
  <c r="N205" i="2"/>
  <c r="Q205" i="2"/>
  <c r="R205" i="2"/>
  <c r="O194" i="2"/>
  <c r="O203" i="2"/>
  <c r="T202" i="2"/>
  <c r="N194" i="2"/>
  <c r="Q194" i="2"/>
  <c r="R194" i="2"/>
  <c r="T201" i="2"/>
  <c r="N203" i="2"/>
  <c r="Q202" i="2"/>
  <c r="R202" i="2"/>
  <c r="T198" i="2"/>
  <c r="Q203" i="2"/>
  <c r="R203" i="2"/>
  <c r="T194" i="2"/>
  <c r="N197" i="2"/>
  <c r="Q197" i="2"/>
  <c r="R197" i="2"/>
  <c r="O191" i="2"/>
  <c r="N193" i="2"/>
  <c r="N191" i="2"/>
  <c r="Q191" i="2"/>
  <c r="R191" i="2"/>
  <c r="T191" i="2"/>
  <c r="O190" i="2"/>
  <c r="T190" i="2"/>
  <c r="N190" i="2"/>
  <c r="Q190" i="2"/>
  <c r="R190" i="2"/>
  <c r="O189" i="2"/>
  <c r="T189" i="2"/>
  <c r="N189" i="2"/>
  <c r="Q189" i="2"/>
  <c r="R189" i="2"/>
  <c r="T188" i="2"/>
  <c r="Q193" i="2"/>
  <c r="R193" i="2"/>
  <c r="O187" i="2"/>
  <c r="T187" i="2"/>
  <c r="N187" i="2"/>
  <c r="Q187" i="2"/>
  <c r="R187" i="2"/>
  <c r="O186" i="2"/>
  <c r="T186" i="2"/>
  <c r="N186" i="2"/>
  <c r="Q186" i="2"/>
  <c r="R186" i="2"/>
  <c r="O185" i="2"/>
  <c r="T185" i="2"/>
  <c r="N185" i="2"/>
  <c r="Q185" i="2"/>
  <c r="R185" i="2"/>
  <c r="O184" i="2"/>
  <c r="T184" i="2"/>
  <c r="N184" i="2"/>
  <c r="Q184" i="2"/>
  <c r="R184" i="2"/>
  <c r="O183" i="2"/>
  <c r="T183" i="2"/>
  <c r="N183" i="2"/>
  <c r="Q183" i="2"/>
  <c r="R183" i="2"/>
  <c r="O179" i="2"/>
  <c r="T179" i="2"/>
  <c r="N179" i="2"/>
  <c r="O178" i="2"/>
  <c r="T178" i="2"/>
  <c r="N178" i="2"/>
  <c r="O177" i="2"/>
  <c r="T177" i="2"/>
  <c r="N177" i="2"/>
  <c r="O164" i="2"/>
  <c r="O162" i="2"/>
  <c r="T162" i="2"/>
  <c r="N164" i="2"/>
  <c r="Q164" i="2"/>
  <c r="R164" i="2"/>
  <c r="O39" i="2"/>
  <c r="T39" i="2"/>
  <c r="Q51" i="2"/>
  <c r="R51" i="2"/>
  <c r="Q102" i="2"/>
  <c r="R102" i="2"/>
  <c r="K216" i="1"/>
  <c r="O215" i="1"/>
  <c r="K215" i="1"/>
  <c r="O214" i="1"/>
  <c r="K214" i="1"/>
  <c r="N190" i="1"/>
  <c r="J190" i="1"/>
  <c r="N187" i="1"/>
  <c r="J187" i="1"/>
  <c r="N186" i="1"/>
  <c r="J186" i="1"/>
  <c r="N185" i="1"/>
  <c r="J185" i="1"/>
  <c r="N184" i="1"/>
  <c r="J184" i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L257" i="2"/>
  <c r="N256" i="2"/>
  <c r="O256" i="2"/>
  <c r="K27" i="1"/>
  <c r="L27" i="1"/>
  <c r="K25" i="1"/>
  <c r="L25" i="1"/>
  <c r="M25" i="1"/>
  <c r="O8" i="2"/>
  <c r="N8" i="2"/>
  <c r="M284" i="2"/>
  <c r="L278" i="2"/>
  <c r="N277" i="2"/>
  <c r="O323" i="2"/>
  <c r="T323" i="2"/>
  <c r="N323" i="2"/>
  <c r="Q323" i="2"/>
  <c r="R323" i="2"/>
  <c r="N320" i="2"/>
  <c r="L267" i="2"/>
  <c r="N267" i="2"/>
  <c r="O267" i="2"/>
  <c r="L206" i="1"/>
  <c r="L202" i="1"/>
  <c r="L260" i="2"/>
  <c r="N49" i="2"/>
  <c r="Q49" i="2"/>
  <c r="R49" i="2"/>
  <c r="L252" i="2"/>
  <c r="N252" i="2"/>
  <c r="O252" i="2"/>
  <c r="L204" i="1"/>
  <c r="M206" i="1"/>
  <c r="N206" i="1"/>
  <c r="J150" i="1"/>
  <c r="M150" i="1"/>
  <c r="P150" i="1"/>
  <c r="Q150" i="1"/>
  <c r="J151" i="1"/>
  <c r="M151" i="1"/>
  <c r="P151" i="1"/>
  <c r="Q151" i="1"/>
  <c r="L259" i="2"/>
  <c r="N112" i="2"/>
  <c r="Q112" i="2"/>
  <c r="R112" i="2"/>
  <c r="L205" i="1"/>
  <c r="L207" i="1"/>
  <c r="N163" i="2"/>
  <c r="Q163" i="2"/>
  <c r="R163" i="2"/>
  <c r="O163" i="2"/>
  <c r="O171" i="2"/>
  <c r="L285" i="2"/>
  <c r="N83" i="2"/>
  <c r="Q83" i="2"/>
  <c r="O320" i="2"/>
  <c r="T320" i="2"/>
  <c r="N322" i="2"/>
  <c r="Q320" i="2"/>
  <c r="R320" i="2"/>
  <c r="N108" i="2"/>
  <c r="N115" i="2"/>
  <c r="Q116" i="2"/>
  <c r="R116" i="2"/>
  <c r="O65" i="1"/>
  <c r="P65" i="1"/>
  <c r="N95" i="1"/>
  <c r="O95" i="1"/>
  <c r="P95" i="1"/>
  <c r="N62" i="1"/>
  <c r="O70" i="1"/>
  <c r="P70" i="1"/>
  <c r="O62" i="1"/>
  <c r="P62" i="1"/>
  <c r="O69" i="1"/>
  <c r="P69" i="1"/>
  <c r="L133" i="3"/>
  <c r="N112" i="1"/>
  <c r="Q97" i="2"/>
  <c r="R97" i="2"/>
  <c r="O47" i="2"/>
  <c r="T47" i="2"/>
  <c r="N41" i="2"/>
  <c r="N45" i="2"/>
  <c r="Q45" i="2"/>
  <c r="R45" i="2"/>
  <c r="T172" i="2"/>
  <c r="Q99" i="2"/>
  <c r="R99" i="2"/>
  <c r="O325" i="2"/>
  <c r="T325" i="2"/>
  <c r="N325" i="2"/>
  <c r="Q325" i="2"/>
  <c r="R325" i="2"/>
  <c r="O166" i="2"/>
  <c r="Q289" i="2"/>
  <c r="N285" i="2"/>
  <c r="O285" i="2"/>
  <c r="L248" i="2"/>
  <c r="N248" i="2"/>
  <c r="O248" i="2"/>
  <c r="N105" i="2"/>
  <c r="N104" i="2"/>
  <c r="Q104" i="2"/>
  <c r="R104" i="2"/>
  <c r="O46" i="2"/>
  <c r="T46" i="2"/>
  <c r="N39" i="2"/>
  <c r="T156" i="2"/>
  <c r="N154" i="2"/>
  <c r="N152" i="2"/>
  <c r="Q157" i="2"/>
  <c r="R157" i="2"/>
  <c r="N85" i="2"/>
  <c r="N90" i="2"/>
  <c r="Q85" i="2"/>
  <c r="R85" i="2"/>
  <c r="N87" i="2"/>
  <c r="N94" i="2"/>
  <c r="N93" i="2"/>
  <c r="Q93" i="2"/>
  <c r="R93" i="2"/>
  <c r="N38" i="2"/>
  <c r="N55" i="2"/>
  <c r="L132" i="3"/>
  <c r="N52" i="1"/>
  <c r="N55" i="1"/>
  <c r="O55" i="1"/>
  <c r="P55" i="1"/>
  <c r="N162" i="1"/>
  <c r="J162" i="1"/>
  <c r="O162" i="1"/>
  <c r="N161" i="1"/>
  <c r="J161" i="1"/>
  <c r="O161" i="1"/>
  <c r="O21" i="2"/>
  <c r="T19" i="2"/>
  <c r="N16" i="2"/>
  <c r="N14" i="2"/>
  <c r="N21" i="2"/>
  <c r="Q21" i="2"/>
  <c r="R21" i="2"/>
  <c r="L258" i="2"/>
  <c r="N51" i="1"/>
  <c r="N50" i="1"/>
  <c r="N54" i="1"/>
  <c r="O54" i="1"/>
  <c r="P54" i="1"/>
  <c r="O61" i="1"/>
  <c r="P61" i="1"/>
  <c r="O71" i="1"/>
  <c r="P71" i="1"/>
  <c r="O147" i="2"/>
  <c r="T147" i="2"/>
  <c r="N147" i="2"/>
  <c r="Q147" i="2"/>
  <c r="R147" i="2"/>
  <c r="N278" i="2"/>
  <c r="O278" i="2"/>
  <c r="O51" i="1"/>
  <c r="P51" i="1"/>
  <c r="M237" i="2"/>
  <c r="Q237" i="2"/>
  <c r="L238" i="2"/>
  <c r="L237" i="2"/>
  <c r="N237" i="2"/>
  <c r="O237" i="2"/>
  <c r="L144" i="3"/>
  <c r="M53" i="3"/>
  <c r="O53" i="3"/>
  <c r="P53" i="3"/>
  <c r="M59" i="3"/>
  <c r="O59" i="3"/>
  <c r="M41" i="3"/>
  <c r="O41" i="3"/>
  <c r="N155" i="2"/>
  <c r="Q155" i="2"/>
  <c r="M275" i="2"/>
  <c r="Q275" i="2"/>
  <c r="M274" i="2"/>
  <c r="Q274" i="2"/>
  <c r="M273" i="2"/>
  <c r="Q273" i="2"/>
  <c r="M272" i="2"/>
  <c r="Q272" i="2"/>
  <c r="M271" i="2"/>
  <c r="Q271" i="2"/>
  <c r="M270" i="2"/>
  <c r="Q270" i="2"/>
  <c r="M269" i="2"/>
  <c r="Q269" i="2"/>
  <c r="M268" i="2"/>
  <c r="Q268" i="2"/>
  <c r="M266" i="2"/>
  <c r="L269" i="2"/>
  <c r="L270" i="2"/>
  <c r="N270" i="2"/>
  <c r="O270" i="2"/>
  <c r="N125" i="2"/>
  <c r="Q125" i="2"/>
  <c r="N86" i="2"/>
  <c r="Q94" i="2"/>
  <c r="N84" i="2"/>
  <c r="N92" i="2"/>
  <c r="Q92" i="2"/>
  <c r="Q90" i="2"/>
  <c r="Q87" i="2"/>
  <c r="Q86" i="2"/>
  <c r="Q84" i="2"/>
  <c r="N82" i="2"/>
  <c r="Q82" i="2"/>
  <c r="N56" i="2"/>
  <c r="N36" i="2"/>
  <c r="N32" i="2"/>
  <c r="N30" i="2"/>
  <c r="N34" i="2"/>
  <c r="N33" i="2"/>
  <c r="N35" i="2"/>
  <c r="N31" i="2"/>
  <c r="N18" i="2"/>
  <c r="N15" i="2"/>
  <c r="N23" i="2"/>
  <c r="N12" i="2"/>
  <c r="N20" i="2"/>
  <c r="N13" i="2"/>
  <c r="N11" i="2"/>
  <c r="N9" i="2"/>
  <c r="N10" i="2"/>
  <c r="K42" i="1"/>
  <c r="L42" i="1"/>
  <c r="M42" i="1"/>
  <c r="P216" i="1"/>
  <c r="Q216" i="1"/>
  <c r="M207" i="1"/>
  <c r="M205" i="1"/>
  <c r="M204" i="1"/>
  <c r="O190" i="1"/>
  <c r="P190" i="1"/>
  <c r="J169" i="1"/>
  <c r="N169" i="1"/>
  <c r="O169" i="1"/>
  <c r="N172" i="1"/>
  <c r="J172" i="1"/>
  <c r="O172" i="1"/>
  <c r="P172" i="1"/>
  <c r="J171" i="1"/>
  <c r="N171" i="1"/>
  <c r="O171" i="1"/>
  <c r="P171" i="1"/>
  <c r="P169" i="1"/>
  <c r="J168" i="1"/>
  <c r="N168" i="1"/>
  <c r="O168" i="1"/>
  <c r="P168" i="1"/>
  <c r="N137" i="1"/>
  <c r="J137" i="1"/>
  <c r="O137" i="1"/>
  <c r="P137" i="1"/>
  <c r="N136" i="1"/>
  <c r="J136" i="1"/>
  <c r="O136" i="1"/>
  <c r="P136" i="1"/>
  <c r="M93" i="3"/>
  <c r="P93" i="3"/>
  <c r="L93" i="3"/>
  <c r="N93" i="3"/>
  <c r="O93" i="3"/>
  <c r="L266" i="2"/>
  <c r="L236" i="2"/>
  <c r="O159" i="2"/>
  <c r="T159" i="2"/>
  <c r="Q284" i="2"/>
  <c r="M239" i="2"/>
  <c r="Q239" i="2"/>
  <c r="L240" i="2"/>
  <c r="L239" i="2"/>
  <c r="N239" i="2"/>
  <c r="O239" i="2"/>
  <c r="O146" i="2"/>
  <c r="T146" i="2"/>
  <c r="N146" i="2"/>
  <c r="Q146" i="2"/>
  <c r="R146" i="2"/>
  <c r="M241" i="2"/>
  <c r="Q241" i="2"/>
  <c r="L241" i="2"/>
  <c r="N241" i="2"/>
  <c r="O241" i="2"/>
  <c r="O64" i="2"/>
  <c r="T64" i="2"/>
  <c r="O63" i="2"/>
  <c r="T62" i="2"/>
  <c r="N68" i="2"/>
  <c r="Q68" i="2"/>
  <c r="R68" i="2"/>
  <c r="N64" i="2"/>
  <c r="Q168" i="1"/>
  <c r="K32" i="1"/>
  <c r="K31" i="1"/>
  <c r="L32" i="1"/>
  <c r="M32" i="1"/>
  <c r="N205" i="1"/>
  <c r="Q169" i="1"/>
  <c r="K34" i="1"/>
  <c r="K33" i="1"/>
  <c r="L31" i="1"/>
  <c r="M31" i="1"/>
  <c r="N75" i="2"/>
  <c r="N73" i="2"/>
  <c r="Q73" i="2"/>
  <c r="R73" i="2"/>
  <c r="N74" i="2"/>
  <c r="Q72" i="2"/>
  <c r="R72" i="2"/>
  <c r="O165" i="2"/>
  <c r="L201" i="1"/>
  <c r="L198" i="1"/>
  <c r="M198" i="1"/>
  <c r="N198" i="1"/>
  <c r="P215" i="1"/>
  <c r="Q215" i="1"/>
  <c r="R215" i="1"/>
  <c r="O137" i="2"/>
  <c r="T137" i="2"/>
  <c r="N136" i="2"/>
  <c r="L143" i="3"/>
  <c r="N58" i="3"/>
  <c r="R58" i="3"/>
  <c r="M58" i="3"/>
  <c r="O58" i="3"/>
  <c r="P58" i="3"/>
  <c r="M288" i="2"/>
  <c r="M291" i="2"/>
  <c r="Q291" i="2"/>
  <c r="N106" i="2"/>
  <c r="N95" i="2"/>
  <c r="Q95" i="2"/>
  <c r="R95" i="2"/>
  <c r="Q115" i="2"/>
  <c r="R115" i="2"/>
  <c r="O56" i="2"/>
  <c r="T56" i="2"/>
  <c r="O55" i="2"/>
  <c r="T55" i="2"/>
  <c r="M146" i="3"/>
  <c r="P146" i="3"/>
  <c r="M144" i="3"/>
  <c r="P144" i="3"/>
  <c r="M143" i="3"/>
  <c r="P143" i="3"/>
  <c r="M137" i="3"/>
  <c r="P137" i="3"/>
  <c r="M136" i="3"/>
  <c r="P136" i="3"/>
  <c r="M133" i="3"/>
  <c r="P133" i="3"/>
  <c r="M132" i="3"/>
  <c r="P132" i="3"/>
  <c r="M128" i="3"/>
  <c r="P128" i="3"/>
  <c r="M127" i="3"/>
  <c r="P127" i="3"/>
  <c r="M126" i="3"/>
  <c r="P126" i="3"/>
  <c r="M120" i="3"/>
  <c r="P120" i="3"/>
  <c r="M119" i="3"/>
  <c r="P119" i="3"/>
  <c r="M117" i="3"/>
  <c r="M118" i="3"/>
  <c r="P118" i="3"/>
  <c r="P117" i="3"/>
  <c r="M116" i="3"/>
  <c r="P116" i="3"/>
  <c r="M115" i="3"/>
  <c r="P115" i="3"/>
  <c r="M114" i="3"/>
  <c r="P114" i="3"/>
  <c r="M113" i="3"/>
  <c r="P113" i="3"/>
  <c r="M112" i="3"/>
  <c r="P112" i="3"/>
  <c r="M111" i="3"/>
  <c r="P111" i="3"/>
  <c r="M110" i="3"/>
  <c r="P110" i="3"/>
  <c r="M109" i="3"/>
  <c r="P109" i="3"/>
  <c r="M101" i="3"/>
  <c r="M103" i="3"/>
  <c r="P103" i="3"/>
  <c r="M102" i="3"/>
  <c r="P102" i="3"/>
  <c r="M98" i="3"/>
  <c r="P101" i="3"/>
  <c r="P98" i="3"/>
  <c r="M97" i="3"/>
  <c r="P97" i="3"/>
  <c r="M96" i="3"/>
  <c r="P96" i="3"/>
  <c r="O78" i="3"/>
  <c r="O77" i="3"/>
  <c r="O76" i="3"/>
  <c r="O72" i="3"/>
  <c r="O71" i="3"/>
  <c r="O70" i="3"/>
  <c r="N63" i="3"/>
  <c r="R63" i="3"/>
  <c r="N62" i="3"/>
  <c r="R62" i="3"/>
  <c r="N61" i="3"/>
  <c r="R61" i="3"/>
  <c r="N60" i="3"/>
  <c r="R60" i="3"/>
  <c r="N59" i="3"/>
  <c r="R59" i="3"/>
  <c r="N57" i="3"/>
  <c r="R57" i="3"/>
  <c r="N56" i="3"/>
  <c r="R56" i="3"/>
  <c r="N55" i="3"/>
  <c r="R55" i="3"/>
  <c r="N54" i="3"/>
  <c r="R54" i="3"/>
  <c r="N53" i="3"/>
  <c r="R53" i="3"/>
  <c r="N52" i="3"/>
  <c r="R52" i="3"/>
  <c r="N51" i="3"/>
  <c r="R51" i="3"/>
  <c r="N45" i="3"/>
  <c r="R45" i="3"/>
  <c r="N44" i="3"/>
  <c r="R44" i="3"/>
  <c r="N43" i="3"/>
  <c r="R43" i="3"/>
  <c r="N42" i="3"/>
  <c r="R42" i="3"/>
  <c r="N41" i="3"/>
  <c r="R41" i="3"/>
  <c r="N40" i="3"/>
  <c r="R40" i="3"/>
  <c r="N39" i="3"/>
  <c r="R39" i="3"/>
  <c r="N38" i="3"/>
  <c r="R38" i="3"/>
  <c r="N37" i="3"/>
  <c r="R37" i="3"/>
  <c r="N36" i="3"/>
  <c r="R36" i="3"/>
  <c r="N35" i="3"/>
  <c r="R35" i="3"/>
  <c r="N34" i="3"/>
  <c r="R34" i="3"/>
  <c r="N29" i="3"/>
  <c r="R29" i="3"/>
  <c r="N28" i="3"/>
  <c r="R28" i="3"/>
  <c r="N27" i="3"/>
  <c r="R27" i="3"/>
  <c r="N26" i="3"/>
  <c r="R26" i="3"/>
  <c r="N25" i="3"/>
  <c r="R25" i="3"/>
  <c r="N20" i="3"/>
  <c r="R20" i="3"/>
  <c r="N19" i="3"/>
  <c r="R19" i="3"/>
  <c r="N18" i="3"/>
  <c r="R18" i="3"/>
  <c r="N17" i="3"/>
  <c r="R17" i="3"/>
  <c r="N16" i="3"/>
  <c r="R16" i="3"/>
  <c r="N15" i="3"/>
  <c r="R15" i="3"/>
  <c r="N14" i="3"/>
  <c r="R14" i="3"/>
  <c r="N13" i="3"/>
  <c r="R13" i="3"/>
  <c r="N12" i="3"/>
  <c r="R12" i="3"/>
  <c r="N11" i="3"/>
  <c r="R11" i="3"/>
  <c r="N10" i="3"/>
  <c r="R10" i="3"/>
  <c r="N9" i="3"/>
  <c r="R9" i="3"/>
  <c r="N8" i="3"/>
  <c r="R8" i="3"/>
  <c r="N332" i="2"/>
  <c r="N330" i="2"/>
  <c r="Q330" i="2"/>
  <c r="R330" i="2"/>
  <c r="O330" i="2"/>
  <c r="M308" i="2"/>
  <c r="Q308" i="2"/>
  <c r="M306" i="2"/>
  <c r="Q306" i="2"/>
  <c r="M304" i="2"/>
  <c r="Q304" i="2"/>
  <c r="M303" i="2"/>
  <c r="Q303" i="2"/>
  <c r="M302" i="2"/>
  <c r="Q302" i="2"/>
  <c r="M301" i="2"/>
  <c r="Q301" i="2"/>
  <c r="M300" i="2"/>
  <c r="Q300" i="2"/>
  <c r="M299" i="2"/>
  <c r="Q299" i="2"/>
  <c r="M298" i="2"/>
  <c r="Q298" i="2"/>
  <c r="M297" i="2"/>
  <c r="Q297" i="2"/>
  <c r="Q288" i="2"/>
  <c r="Q287" i="2"/>
  <c r="Q279" i="2"/>
  <c r="M267" i="2"/>
  <c r="Q267" i="2"/>
  <c r="M260" i="2"/>
  <c r="Q260" i="2"/>
  <c r="M240" i="2"/>
  <c r="Q240" i="2"/>
  <c r="M238" i="2"/>
  <c r="Q238" i="2"/>
  <c r="M236" i="2"/>
  <c r="Q236" i="2"/>
  <c r="Q235" i="2"/>
  <c r="M234" i="2"/>
  <c r="Q234" i="2"/>
  <c r="M233" i="2"/>
  <c r="Q233" i="2"/>
  <c r="M232" i="2"/>
  <c r="Q232" i="2"/>
  <c r="M231" i="2"/>
  <c r="Q231" i="2"/>
  <c r="M230" i="2"/>
  <c r="Q230" i="2"/>
  <c r="M229" i="2"/>
  <c r="Q229" i="2"/>
  <c r="O332" i="2"/>
  <c r="T332" i="2"/>
  <c r="O329" i="2"/>
  <c r="T330" i="2"/>
  <c r="T329" i="2"/>
  <c r="O324" i="2"/>
  <c r="T324" i="2"/>
  <c r="O322" i="2"/>
  <c r="T322" i="2"/>
  <c r="O321" i="2"/>
  <c r="T321" i="2"/>
  <c r="O319" i="2"/>
  <c r="T319" i="2"/>
  <c r="O318" i="2"/>
  <c r="T318" i="2"/>
  <c r="O317" i="2"/>
  <c r="T317" i="2"/>
  <c r="O316" i="2"/>
  <c r="T316" i="2"/>
  <c r="O315" i="2"/>
  <c r="T315" i="2"/>
  <c r="O314" i="2"/>
  <c r="T314" i="2"/>
  <c r="T173" i="2"/>
  <c r="O167" i="2"/>
  <c r="O168" i="2"/>
  <c r="T171" i="2"/>
  <c r="O170" i="2"/>
  <c r="T165" i="2"/>
  <c r="T163" i="2"/>
  <c r="O160" i="2"/>
  <c r="T160" i="2"/>
  <c r="T157" i="2"/>
  <c r="T154" i="2"/>
  <c r="T150" i="2"/>
  <c r="O149" i="2"/>
  <c r="T149" i="2"/>
  <c r="O148" i="2"/>
  <c r="T148" i="2"/>
  <c r="O136" i="2"/>
  <c r="T136" i="2"/>
  <c r="L234" i="2"/>
  <c r="N234" i="2"/>
  <c r="O234" i="2"/>
  <c r="L232" i="2"/>
  <c r="L233" i="2"/>
  <c r="N233" i="2"/>
  <c r="O233" i="2"/>
  <c r="N232" i="2"/>
  <c r="O232" i="2"/>
  <c r="L231" i="2"/>
  <c r="N231" i="2"/>
  <c r="O231" i="2"/>
  <c r="O130" i="2"/>
  <c r="T130" i="2"/>
  <c r="O128" i="2"/>
  <c r="T128" i="2"/>
  <c r="O126" i="2"/>
  <c r="T126" i="2"/>
  <c r="O125" i="2"/>
  <c r="T125" i="2"/>
  <c r="O124" i="2"/>
  <c r="T124" i="2"/>
  <c r="O123" i="2"/>
  <c r="T123" i="2"/>
  <c r="O122" i="2"/>
  <c r="T122" i="2"/>
  <c r="O62" i="2"/>
  <c r="T52" i="2"/>
  <c r="T51" i="2"/>
  <c r="T50" i="2"/>
  <c r="T49" i="2"/>
  <c r="T37" i="2"/>
  <c r="O36" i="2"/>
  <c r="T36" i="2"/>
  <c r="O35" i="2"/>
  <c r="T35" i="2"/>
  <c r="O34" i="2"/>
  <c r="T34" i="2"/>
  <c r="O33" i="2"/>
  <c r="T33" i="2"/>
  <c r="O32" i="2"/>
  <c r="T32" i="2"/>
  <c r="O31" i="2"/>
  <c r="T31" i="2"/>
  <c r="O30" i="2"/>
  <c r="T30" i="2"/>
  <c r="T24" i="2"/>
  <c r="O18" i="2"/>
  <c r="O23" i="2"/>
  <c r="T23" i="2"/>
  <c r="T18" i="2"/>
  <c r="T17" i="2"/>
  <c r="O16" i="2"/>
  <c r="T16" i="2"/>
  <c r="O15" i="2"/>
  <c r="T15" i="2"/>
  <c r="O14" i="2"/>
  <c r="T14" i="2"/>
  <c r="O13" i="2"/>
  <c r="T13" i="2"/>
  <c r="O12" i="2"/>
  <c r="T12" i="2"/>
  <c r="O11" i="2"/>
  <c r="T11" i="2"/>
  <c r="O10" i="2"/>
  <c r="T10" i="2"/>
  <c r="O9" i="2"/>
  <c r="T8" i="2"/>
  <c r="N258" i="2"/>
  <c r="O258" i="2"/>
  <c r="L101" i="3"/>
  <c r="N101" i="3"/>
  <c r="O101" i="3"/>
  <c r="L103" i="3"/>
  <c r="N103" i="3"/>
  <c r="O103" i="3"/>
  <c r="N240" i="2"/>
  <c r="O240" i="2"/>
  <c r="N238" i="2"/>
  <c r="O238" i="2"/>
  <c r="L96" i="3"/>
  <c r="L97" i="3"/>
  <c r="N97" i="3"/>
  <c r="O97" i="3"/>
  <c r="L275" i="2"/>
  <c r="N284" i="2"/>
  <c r="O284" i="2"/>
  <c r="Q100" i="2"/>
  <c r="R100" i="2"/>
  <c r="L249" i="2"/>
  <c r="M29" i="3"/>
  <c r="M28" i="3"/>
  <c r="M27" i="3"/>
  <c r="M26" i="3"/>
  <c r="O13" i="3"/>
  <c r="P13" i="3"/>
  <c r="Q152" i="2"/>
  <c r="R152" i="2"/>
  <c r="Q159" i="2"/>
  <c r="R159" i="2"/>
  <c r="L272" i="2"/>
  <c r="L271" i="2"/>
  <c r="N272" i="2"/>
  <c r="O272" i="2"/>
  <c r="N271" i="2"/>
  <c r="O271" i="2"/>
  <c r="Q16" i="2"/>
  <c r="R16" i="2"/>
  <c r="Q15" i="2"/>
  <c r="R15" i="2"/>
  <c r="Q14" i="2"/>
  <c r="R14" i="2"/>
  <c r="N148" i="2"/>
  <c r="Q148" i="2"/>
  <c r="R148" i="2"/>
  <c r="N109" i="2"/>
  <c r="N111" i="2"/>
  <c r="Q111" i="2"/>
  <c r="R111" i="2"/>
  <c r="N110" i="2"/>
  <c r="Q110" i="2"/>
  <c r="R110" i="2"/>
  <c r="N245" i="2"/>
  <c r="O245" i="2"/>
  <c r="R90" i="2"/>
  <c r="R87" i="2"/>
  <c r="Q34" i="2"/>
  <c r="R34" i="2"/>
  <c r="Q33" i="2"/>
  <c r="R33" i="2"/>
  <c r="N71" i="3"/>
  <c r="M71" i="3"/>
  <c r="N77" i="3"/>
  <c r="M77" i="3"/>
  <c r="Q32" i="2"/>
  <c r="R32" i="2"/>
  <c r="L274" i="2"/>
  <c r="L273" i="2"/>
  <c r="N273" i="2"/>
  <c r="O273" i="2"/>
  <c r="L33" i="1"/>
  <c r="M33" i="1"/>
  <c r="Q171" i="1"/>
  <c r="N160" i="2"/>
  <c r="Q162" i="2"/>
  <c r="R162" i="2"/>
  <c r="N249" i="2"/>
  <c r="O249" i="2"/>
  <c r="Q109" i="2"/>
  <c r="R109" i="2"/>
  <c r="Q55" i="2"/>
  <c r="R55" i="2"/>
  <c r="Q48" i="2"/>
  <c r="R48" i="2"/>
  <c r="N319" i="2"/>
  <c r="Q319" i="2"/>
  <c r="R319" i="2"/>
  <c r="N70" i="2"/>
  <c r="Q70" i="2"/>
  <c r="R70" i="2"/>
  <c r="Q13" i="2"/>
  <c r="R13" i="2"/>
  <c r="Q39" i="2"/>
  <c r="R39" i="2"/>
  <c r="Q41" i="2"/>
  <c r="R41" i="2"/>
  <c r="L200" i="1"/>
  <c r="M200" i="1"/>
  <c r="N200" i="1"/>
  <c r="K23" i="1"/>
  <c r="N321" i="2"/>
  <c r="Q321" i="2"/>
  <c r="R321" i="2"/>
  <c r="N236" i="2"/>
  <c r="O236" i="2"/>
  <c r="Q154" i="2"/>
  <c r="R154" i="2"/>
  <c r="N257" i="2"/>
  <c r="O257" i="2"/>
  <c r="N107" i="2"/>
  <c r="Q107" i="2"/>
  <c r="R107" i="2"/>
  <c r="Q108" i="2"/>
  <c r="R108" i="2"/>
  <c r="N259" i="2"/>
  <c r="O259" i="2"/>
  <c r="Q20" i="2"/>
  <c r="R20" i="2"/>
  <c r="R86" i="2"/>
  <c r="Q38" i="2"/>
  <c r="R38" i="2"/>
  <c r="Q137" i="1"/>
  <c r="L297" i="2"/>
  <c r="Q74" i="2"/>
  <c r="R74" i="2"/>
  <c r="K26" i="1"/>
  <c r="L26" i="1"/>
  <c r="M27" i="1"/>
  <c r="N260" i="2"/>
  <c r="O260" i="2"/>
  <c r="N164" i="1"/>
  <c r="J164" i="1"/>
  <c r="O164" i="1"/>
  <c r="P164" i="1"/>
  <c r="Q164" i="1"/>
  <c r="O50" i="1"/>
  <c r="P50" i="1"/>
  <c r="R216" i="1"/>
  <c r="N207" i="1"/>
  <c r="M202" i="1"/>
  <c r="N202" i="1"/>
  <c r="J149" i="1"/>
  <c r="M149" i="1"/>
  <c r="P149" i="1"/>
  <c r="Q149" i="1"/>
  <c r="R149" i="1"/>
  <c r="N123" i="1"/>
  <c r="O123" i="1"/>
  <c r="P123" i="1"/>
  <c r="K43" i="1"/>
  <c r="K41" i="1"/>
  <c r="K40" i="1"/>
  <c r="K39" i="1"/>
  <c r="K30" i="1"/>
  <c r="K29" i="1"/>
  <c r="K21" i="1"/>
  <c r="L199" i="1"/>
  <c r="L197" i="1"/>
  <c r="L196" i="1"/>
  <c r="J183" i="1"/>
  <c r="J166" i="1"/>
  <c r="J157" i="1"/>
  <c r="J133" i="1"/>
  <c r="O187" i="1"/>
  <c r="P187" i="1"/>
  <c r="Q187" i="1"/>
  <c r="O186" i="1"/>
  <c r="P186" i="1"/>
  <c r="Q186" i="1"/>
  <c r="P161" i="1"/>
  <c r="Q161" i="1"/>
  <c r="N133" i="1"/>
  <c r="O133" i="1"/>
  <c r="N122" i="1"/>
  <c r="O122" i="1"/>
  <c r="P122" i="1"/>
  <c r="N110" i="1"/>
  <c r="O110" i="1"/>
  <c r="P110" i="1"/>
  <c r="N103" i="1"/>
  <c r="O103" i="1"/>
  <c r="P103" i="1"/>
  <c r="L303" i="2"/>
  <c r="N303" i="2"/>
  <c r="O303" i="2"/>
  <c r="L301" i="2"/>
  <c r="N301" i="2"/>
  <c r="O301" i="2"/>
  <c r="L299" i="2"/>
  <c r="N299" i="2"/>
  <c r="O299" i="2"/>
  <c r="L229" i="2"/>
  <c r="N62" i="2"/>
  <c r="Q23" i="2"/>
  <c r="R23" i="2"/>
  <c r="Q35" i="2"/>
  <c r="R35" i="2"/>
  <c r="N269" i="2"/>
  <c r="O269" i="2"/>
  <c r="R92" i="2"/>
  <c r="Q75" i="2"/>
  <c r="R75" i="2"/>
  <c r="N69" i="2"/>
  <c r="Q69" i="2"/>
  <c r="R69" i="2"/>
  <c r="M201" i="1"/>
  <c r="N201" i="1"/>
  <c r="L29" i="1"/>
  <c r="N105" i="1"/>
  <c r="O105" i="1"/>
  <c r="P105" i="1"/>
  <c r="O112" i="1"/>
  <c r="P112" i="1"/>
  <c r="N101" i="1"/>
  <c r="O101" i="1"/>
  <c r="P101" i="1"/>
  <c r="N128" i="1"/>
  <c r="O128" i="1"/>
  <c r="P128" i="1"/>
  <c r="N127" i="1"/>
  <c r="O127" i="1"/>
  <c r="P127" i="1"/>
  <c r="N126" i="1"/>
  <c r="O126" i="1"/>
  <c r="P126" i="1"/>
  <c r="N125" i="1"/>
  <c r="O125" i="1"/>
  <c r="P125" i="1"/>
  <c r="N124" i="1"/>
  <c r="O124" i="1"/>
  <c r="P124" i="1"/>
  <c r="N121" i="1"/>
  <c r="O121" i="1"/>
  <c r="P121" i="1"/>
  <c r="N120" i="1"/>
  <c r="N115" i="1"/>
  <c r="O115" i="1"/>
  <c r="P115" i="1"/>
  <c r="L12" i="1"/>
  <c r="M12" i="1"/>
  <c r="N12" i="1"/>
  <c r="L10" i="1"/>
  <c r="M10" i="1"/>
  <c r="N10" i="1"/>
  <c r="O67" i="1"/>
  <c r="P67" i="1"/>
  <c r="N53" i="1"/>
  <c r="O53" i="1"/>
  <c r="O52" i="1"/>
  <c r="P52" i="1"/>
  <c r="N324" i="2"/>
  <c r="Q324" i="2"/>
  <c r="R324" i="2"/>
  <c r="O20" i="3"/>
  <c r="P20" i="3"/>
  <c r="O19" i="3"/>
  <c r="P19" i="3"/>
  <c r="O18" i="3"/>
  <c r="P18" i="3"/>
  <c r="L146" i="3"/>
  <c r="N146" i="3"/>
  <c r="O146" i="3"/>
  <c r="N144" i="3"/>
  <c r="O144" i="3"/>
  <c r="N143" i="3"/>
  <c r="O143" i="3"/>
  <c r="L137" i="3"/>
  <c r="N137" i="3"/>
  <c r="O137" i="3"/>
  <c r="N136" i="3"/>
  <c r="O136" i="3"/>
  <c r="N133" i="3"/>
  <c r="O133" i="3"/>
  <c r="N132" i="3"/>
  <c r="O132" i="3"/>
  <c r="L128" i="3"/>
  <c r="N128" i="3"/>
  <c r="O128" i="3"/>
  <c r="L126" i="3"/>
  <c r="L120" i="3"/>
  <c r="N120" i="3"/>
  <c r="O120" i="3"/>
  <c r="L119" i="3"/>
  <c r="N119" i="3"/>
  <c r="O119" i="3"/>
  <c r="L117" i="3"/>
  <c r="N117" i="3"/>
  <c r="O117" i="3"/>
  <c r="L118" i="3"/>
  <c r="N118" i="3"/>
  <c r="O118" i="3"/>
  <c r="L116" i="3"/>
  <c r="N116" i="3"/>
  <c r="O116" i="3"/>
  <c r="L115" i="3"/>
  <c r="N115" i="3"/>
  <c r="O115" i="3"/>
  <c r="L114" i="3"/>
  <c r="N114" i="3"/>
  <c r="O114" i="3"/>
  <c r="L113" i="3"/>
  <c r="N113" i="3"/>
  <c r="O113" i="3"/>
  <c r="L112" i="3"/>
  <c r="N112" i="3"/>
  <c r="O112" i="3"/>
  <c r="L111" i="3"/>
  <c r="N111" i="3"/>
  <c r="O111" i="3"/>
  <c r="L110" i="3"/>
  <c r="L98" i="3"/>
  <c r="N98" i="3"/>
  <c r="N102" i="3"/>
  <c r="N96" i="3"/>
  <c r="O98" i="3"/>
  <c r="O102" i="3"/>
  <c r="O96" i="3"/>
  <c r="M63" i="3"/>
  <c r="O63" i="3"/>
  <c r="P63" i="3"/>
  <c r="M62" i="3"/>
  <c r="O62" i="3"/>
  <c r="P62" i="3"/>
  <c r="M61" i="3"/>
  <c r="O61" i="3"/>
  <c r="P61" i="3"/>
  <c r="M60" i="3"/>
  <c r="O60" i="3"/>
  <c r="P60" i="3"/>
  <c r="P59" i="3"/>
  <c r="M57" i="3"/>
  <c r="O57" i="3"/>
  <c r="P57" i="3"/>
  <c r="M56" i="3"/>
  <c r="O56" i="3"/>
  <c r="P56" i="3"/>
  <c r="M55" i="3"/>
  <c r="O55" i="3"/>
  <c r="P55" i="3"/>
  <c r="M54" i="3"/>
  <c r="O54" i="3"/>
  <c r="P54" i="3"/>
  <c r="M45" i="3"/>
  <c r="O45" i="3"/>
  <c r="P45" i="3"/>
  <c r="M44" i="3"/>
  <c r="O44" i="3"/>
  <c r="P44" i="3"/>
  <c r="M43" i="3"/>
  <c r="O43" i="3"/>
  <c r="P43" i="3"/>
  <c r="P41" i="3"/>
  <c r="M40" i="3"/>
  <c r="O40" i="3"/>
  <c r="P40" i="3"/>
  <c r="M38" i="3"/>
  <c r="M39" i="3"/>
  <c r="O39" i="3"/>
  <c r="P39" i="3"/>
  <c r="O38" i="3"/>
  <c r="P38" i="3"/>
  <c r="M37" i="3"/>
  <c r="O37" i="3"/>
  <c r="P37" i="3"/>
  <c r="M36" i="3"/>
  <c r="O36" i="3"/>
  <c r="P36" i="3"/>
  <c r="M42" i="3"/>
  <c r="O42" i="3"/>
  <c r="O17" i="3"/>
  <c r="O14" i="3"/>
  <c r="O12" i="3"/>
  <c r="Q80" i="2"/>
  <c r="R80" i="2"/>
  <c r="N306" i="2"/>
  <c r="O306" i="2"/>
  <c r="L304" i="2"/>
  <c r="N304" i="2"/>
  <c r="O304" i="2"/>
  <c r="L308" i="2"/>
  <c r="N308" i="2"/>
  <c r="L300" i="2"/>
  <c r="N300" i="2"/>
  <c r="R151" i="1"/>
  <c r="J148" i="1"/>
  <c r="M148" i="1"/>
  <c r="P148" i="1"/>
  <c r="Q148" i="1"/>
  <c r="R148" i="1"/>
  <c r="J147" i="1"/>
  <c r="M147" i="1"/>
  <c r="P147" i="1"/>
  <c r="Q147" i="1"/>
  <c r="R147" i="1"/>
  <c r="J146" i="1"/>
  <c r="M146" i="1"/>
  <c r="P146" i="1"/>
  <c r="Q146" i="1"/>
  <c r="R146" i="1"/>
  <c r="J145" i="1"/>
  <c r="M145" i="1"/>
  <c r="P145" i="1"/>
  <c r="Q145" i="1"/>
  <c r="R145" i="1"/>
  <c r="J143" i="1"/>
  <c r="N96" i="1"/>
  <c r="O96" i="1"/>
  <c r="N94" i="1"/>
  <c r="O94" i="1"/>
  <c r="J144" i="1"/>
  <c r="M144" i="1"/>
  <c r="P144" i="1"/>
  <c r="Q144" i="1"/>
  <c r="M143" i="1"/>
  <c r="P143" i="1"/>
  <c r="Q143" i="1"/>
  <c r="L246" i="2"/>
  <c r="N243" i="2"/>
  <c r="O243" i="2"/>
  <c r="Q114" i="2"/>
  <c r="R114" i="2"/>
  <c r="N56" i="1"/>
  <c r="N48" i="1"/>
  <c r="N49" i="1"/>
  <c r="O308" i="2"/>
  <c r="N275" i="2"/>
  <c r="O275" i="2"/>
  <c r="N128" i="2"/>
  <c r="Q128" i="2"/>
  <c r="R128" i="2"/>
  <c r="L302" i="2"/>
  <c r="N302" i="2"/>
  <c r="N274" i="2"/>
  <c r="L268" i="2"/>
  <c r="N268" i="2"/>
  <c r="N246" i="2"/>
  <c r="N166" i="1"/>
  <c r="O166" i="1"/>
  <c r="P166" i="1"/>
  <c r="Q166" i="1"/>
  <c r="Q172" i="1"/>
  <c r="Q50" i="2"/>
  <c r="Q136" i="1"/>
  <c r="L127" i="3"/>
  <c r="Q105" i="2"/>
  <c r="Q106" i="2"/>
  <c r="L109" i="3"/>
  <c r="N72" i="3"/>
  <c r="M72" i="3"/>
  <c r="M70" i="3"/>
  <c r="M52" i="3"/>
  <c r="M51" i="3"/>
  <c r="M35" i="3"/>
  <c r="M76" i="3"/>
  <c r="M78" i="3"/>
  <c r="N78" i="3"/>
  <c r="N76" i="3"/>
  <c r="N70" i="3"/>
  <c r="P42" i="3"/>
  <c r="M34" i="3"/>
  <c r="M25" i="3"/>
  <c r="O16" i="3"/>
  <c r="P16" i="3"/>
  <c r="O15" i="3"/>
  <c r="P15" i="3"/>
  <c r="P14" i="3"/>
  <c r="P12" i="3"/>
  <c r="O11" i="3"/>
  <c r="P11" i="3"/>
  <c r="O10" i="3"/>
  <c r="P10" i="3"/>
  <c r="Q332" i="2"/>
  <c r="Q329" i="2"/>
  <c r="N318" i="2"/>
  <c r="N317" i="2"/>
  <c r="N316" i="2"/>
  <c r="N315" i="2"/>
  <c r="N314" i="2"/>
  <c r="L230" i="2"/>
  <c r="N149" i="2"/>
  <c r="N138" i="2"/>
  <c r="N137" i="2"/>
  <c r="O302" i="2"/>
  <c r="L298" i="2"/>
  <c r="N126" i="2"/>
  <c r="Q126" i="2"/>
  <c r="R126" i="2"/>
  <c r="Q130" i="2"/>
  <c r="R130" i="2"/>
  <c r="R125" i="2"/>
  <c r="N124" i="2"/>
  <c r="N123" i="2"/>
  <c r="N122" i="2"/>
  <c r="R94" i="2"/>
  <c r="N67" i="2"/>
  <c r="N66" i="2"/>
  <c r="N63" i="2"/>
  <c r="Q56" i="2"/>
  <c r="Q30" i="2"/>
  <c r="R30" i="2"/>
  <c r="Q31" i="2"/>
  <c r="R31" i="2"/>
  <c r="O213" i="1"/>
  <c r="K213" i="1"/>
  <c r="O185" i="1"/>
  <c r="O184" i="1"/>
  <c r="N183" i="1"/>
  <c r="O183" i="1"/>
  <c r="N178" i="1"/>
  <c r="N177" i="1"/>
  <c r="J178" i="1"/>
  <c r="J177" i="1"/>
  <c r="N157" i="1"/>
  <c r="O157" i="1"/>
  <c r="L15" i="1"/>
  <c r="L14" i="1"/>
  <c r="L13" i="1"/>
  <c r="L11" i="1"/>
  <c r="L9" i="1"/>
  <c r="L8" i="1"/>
  <c r="R84" i="2"/>
  <c r="P17" i="3"/>
  <c r="Q160" i="2"/>
  <c r="R160" i="2"/>
  <c r="O300" i="2"/>
  <c r="R82" i="2"/>
  <c r="R329" i="2"/>
  <c r="R332" i="2"/>
  <c r="Q318" i="2"/>
  <c r="R318" i="2"/>
  <c r="Q322" i="2"/>
  <c r="R322" i="2"/>
  <c r="Q317" i="2"/>
  <c r="R317" i="2"/>
  <c r="Q316" i="2"/>
  <c r="R316" i="2"/>
  <c r="R105" i="2"/>
  <c r="R50" i="2"/>
  <c r="Q124" i="2"/>
  <c r="R124" i="2"/>
  <c r="R106" i="2"/>
  <c r="O178" i="1"/>
  <c r="P178" i="1"/>
  <c r="Q178" i="1"/>
  <c r="O177" i="1"/>
  <c r="P177" i="1"/>
  <c r="Q177" i="1"/>
  <c r="M199" i="1"/>
  <c r="N199" i="1"/>
  <c r="L43" i="1"/>
  <c r="M43" i="1"/>
  <c r="L41" i="1"/>
  <c r="M41" i="1"/>
  <c r="L40" i="1"/>
  <c r="M40" i="1"/>
  <c r="L34" i="1"/>
  <c r="M34" i="1"/>
  <c r="L30" i="1"/>
  <c r="M30" i="1"/>
  <c r="M26" i="1"/>
  <c r="N204" i="1"/>
  <c r="Q190" i="1"/>
  <c r="P185" i="1"/>
  <c r="Q185" i="1"/>
  <c r="P162" i="1"/>
  <c r="P160" i="1"/>
  <c r="Q162" i="1"/>
  <c r="Q160" i="1"/>
  <c r="M15" i="1"/>
  <c r="M14" i="1"/>
  <c r="N14" i="1"/>
  <c r="M13" i="1"/>
  <c r="N13" i="1"/>
  <c r="M11" i="1"/>
  <c r="N11" i="1"/>
  <c r="R155" i="2"/>
  <c r="Q149" i="2"/>
  <c r="O274" i="2"/>
  <c r="O268" i="2"/>
  <c r="O246" i="2"/>
  <c r="Q67" i="2"/>
  <c r="R67" i="2"/>
  <c r="Q18" i="2"/>
  <c r="R18" i="2"/>
  <c r="Q12" i="2"/>
  <c r="R12" i="2"/>
  <c r="Q11" i="2"/>
  <c r="R11" i="2"/>
  <c r="R56" i="2"/>
  <c r="Q36" i="2"/>
  <c r="R36" i="2"/>
  <c r="Q29" i="2"/>
  <c r="R29" i="2"/>
  <c r="R149" i="2"/>
  <c r="P213" i="1"/>
  <c r="P214" i="1"/>
  <c r="P94" i="1"/>
  <c r="P96" i="1"/>
  <c r="P53" i="1"/>
  <c r="O56" i="1"/>
  <c r="P56" i="1"/>
  <c r="S145" i="1"/>
  <c r="S146" i="1"/>
  <c r="S147" i="1"/>
  <c r="S148" i="1"/>
  <c r="S149" i="1"/>
  <c r="S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41" authorId="0" shapeId="0" xr:uid="{00000000-0006-0000-0200-000001000000}">
      <text>
        <r>
          <rPr>
            <b/>
            <sz val="11"/>
            <color theme="1"/>
            <rFont val="Calibri"/>
            <family val="2"/>
            <scheme val="minor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C149" authorId="0" shapeId="0" xr:uid="{8173F826-8F4B-4BBE-A61C-56A1FC66D214}">
      <text>
        <r>
          <rPr>
            <b/>
            <sz val="11"/>
            <color theme="1"/>
            <rFont val="Calibri"/>
            <family val="2"/>
            <scheme val="minor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C160" authorId="0" shapeId="0" xr:uid="{4CCEC81C-1372-4696-AEA0-7F565070E4CA}">
      <text>
        <r>
          <rPr>
            <b/>
            <sz val="11"/>
            <color theme="1"/>
            <rFont val="Calibri"/>
            <family val="2"/>
            <scheme val="minor"/>
          </rPr>
          <t>Author:</t>
        </r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<sst xmlns="http://schemas.openxmlformats.org/spreadsheetml/2006/main" count="2380" uniqueCount="388">
  <si>
    <t>Name</t>
  </si>
  <si>
    <t>SAPA No</t>
  </si>
  <si>
    <t>Grading</t>
  </si>
  <si>
    <t>T 1</t>
  </si>
  <si>
    <t>T 2</t>
  </si>
  <si>
    <t>T 3</t>
  </si>
  <si>
    <t>T 4</t>
  </si>
  <si>
    <t>T 5</t>
  </si>
  <si>
    <t>T 6</t>
  </si>
  <si>
    <t>Total</t>
  </si>
  <si>
    <t xml:space="preserve"> </t>
  </si>
  <si>
    <t>Air Pistol Men</t>
  </si>
  <si>
    <t>Air Pistol Ladies</t>
  </si>
  <si>
    <t>Center Fire</t>
  </si>
  <si>
    <t>M</t>
  </si>
  <si>
    <t>G</t>
  </si>
  <si>
    <t>S</t>
  </si>
  <si>
    <t>B</t>
  </si>
  <si>
    <t>HM</t>
  </si>
  <si>
    <t>Police Pistol A</t>
  </si>
  <si>
    <t>Police Pistol B</t>
  </si>
  <si>
    <t>Service Pistol A</t>
  </si>
  <si>
    <t>Service Pistol B</t>
  </si>
  <si>
    <t>Police Pistol II</t>
  </si>
  <si>
    <t>1500 Pistol</t>
  </si>
  <si>
    <t>1500 Revolver</t>
  </si>
  <si>
    <t>Distinguished Pistol</t>
  </si>
  <si>
    <t>Distinguished Revolver</t>
  </si>
  <si>
    <t>Pocket Pistol</t>
  </si>
  <si>
    <t>Stock Semi Auto</t>
  </si>
  <si>
    <t>Service Revolver</t>
  </si>
  <si>
    <t xml:space="preserve">G </t>
  </si>
  <si>
    <t>Police Pistol OPTICAL</t>
  </si>
  <si>
    <t>Service Pistol OPTICAL</t>
  </si>
  <si>
    <t>D1</t>
  </si>
  <si>
    <t>D2</t>
  </si>
  <si>
    <t>D3</t>
  </si>
  <si>
    <t>SUB-TOTAL</t>
  </si>
  <si>
    <t>MENS SPORT PISTOL</t>
  </si>
  <si>
    <t>LADIES SPORT PISTOL</t>
  </si>
  <si>
    <t>T-150</t>
  </si>
  <si>
    <t>T-20</t>
  </si>
  <si>
    <t>T-10</t>
  </si>
  <si>
    <t>T-8</t>
  </si>
  <si>
    <t>T-6</t>
  </si>
  <si>
    <t>T-4</t>
  </si>
  <si>
    <t>Rapid Fire Pistol - .22LR</t>
  </si>
  <si>
    <t>Sub-Total</t>
  </si>
  <si>
    <t>X</t>
  </si>
  <si>
    <t>Hits</t>
  </si>
  <si>
    <t>HITS</t>
  </si>
  <si>
    <t>#1</t>
  </si>
  <si>
    <t>#2</t>
  </si>
  <si>
    <t>#3</t>
  </si>
  <si>
    <t>#4</t>
  </si>
  <si>
    <t>#5</t>
  </si>
  <si>
    <t>#6</t>
  </si>
  <si>
    <t>#7</t>
  </si>
  <si>
    <t>#8</t>
  </si>
  <si>
    <t>Upgraded</t>
  </si>
  <si>
    <t>New Grading</t>
  </si>
  <si>
    <t>NEW GRADING</t>
  </si>
  <si>
    <t xml:space="preserve">GRADINGS: </t>
  </si>
  <si>
    <t>New GRADING</t>
  </si>
  <si>
    <t>GRADINGS:</t>
  </si>
  <si>
    <t>BRONZE &lt;499,   SILVER &lt; 530,  GOLD &lt;560, MASTER over 560</t>
  </si>
  <si>
    <t>BRONZE up to 479,   SILVER &lt; 510,  GOLD &lt;539, MASTER over 539</t>
  </si>
  <si>
    <t>BRONZE  up to 489,   SILVER &lt; 520,  GOLD &lt;550, MASTER over 549</t>
  </si>
  <si>
    <t>BRONZE up to 509,   SILVER &lt; 530,  GOLD &lt;564, MASTER over 564</t>
  </si>
  <si>
    <t>Bronze up to 239, SILVER &lt;260, Gold&lt;279, MASTER over 279</t>
  </si>
  <si>
    <t>Bronze up to 469, Silver&lt;500 ,Gold&lt;529, MASTER over 530</t>
  </si>
  <si>
    <t>GRADINGS</t>
  </si>
  <si>
    <t>BRONZE &lt;85,  SILVER &lt;103, GOLD&lt;110, MASTER &lt;115, HI-MASTER OVER 114</t>
  </si>
  <si>
    <t>BRONZE &lt;271, SILVER &lt;285, GOLD&lt;295, MASTER &lt;298, HI-MASTER OVER 297</t>
  </si>
  <si>
    <t>BRONZE &lt;280, SILVER &lt;290, GOLD&lt;294, MASTER &lt;297, HI-MASTER OVER 296</t>
  </si>
  <si>
    <t>Wian de Wet</t>
  </si>
  <si>
    <t>Gary Cimma</t>
  </si>
  <si>
    <t>Best Score</t>
  </si>
  <si>
    <t>T3</t>
  </si>
  <si>
    <t>UPGRADE</t>
  </si>
  <si>
    <t>50 Yards - Ladies</t>
  </si>
  <si>
    <t>JUNIOR SPORT PISTOL</t>
  </si>
  <si>
    <t>Tzarina Opperman</t>
  </si>
  <si>
    <t xml:space="preserve"> Open Standard Pistol</t>
  </si>
  <si>
    <t>TOTAL</t>
  </si>
  <si>
    <t>NPA MAGNUM</t>
  </si>
  <si>
    <t>BRONZE &lt;515, SILVER &lt;552, GOLD &lt;576, MASTER &lt; 590, HI-MASTER over 589</t>
  </si>
  <si>
    <t>OPEN MATCH</t>
  </si>
  <si>
    <t>UPGRADED</t>
  </si>
  <si>
    <t>New Grade</t>
  </si>
  <si>
    <t>BRONZE &lt;413, SILVER &lt;442, GOLD&lt;461, MASTER &lt;472, Hi-MASTER OVER 471</t>
  </si>
  <si>
    <t>BRONZE &lt; 413, SILVER &lt;442, GOLD &lt;461, MASTER &lt;472, HI-MASTER OVER 471</t>
  </si>
  <si>
    <t>BRONZE &lt;1080, SILVER &lt;1380, GOLD &lt;1440, MASTER &lt;1476, HI-MASTER over 1475</t>
  </si>
  <si>
    <t>T2</t>
  </si>
  <si>
    <t>T1</t>
  </si>
  <si>
    <t>600 MATCH - REVOLVER</t>
  </si>
  <si>
    <t>600 MATCH - PISTOL</t>
  </si>
  <si>
    <t>Course of Fire:</t>
  </si>
  <si>
    <t>5 sighters in 10 Secs</t>
  </si>
  <si>
    <t>BRONZE up to 479,   SILVER &lt; 520,  GOLD &lt;550, MASTER over 550</t>
  </si>
  <si>
    <t>10 Secs</t>
  </si>
  <si>
    <t>8 Secs</t>
  </si>
  <si>
    <t>6 Secs</t>
  </si>
  <si>
    <t>BRONZE &lt;510, SILVER &lt;550, GOLD&lt;575, MASTER &lt;590, Hi-MASTER OVER 590</t>
  </si>
  <si>
    <t>20 Shots - 4 x 5 shots in 10 Secs</t>
  </si>
  <si>
    <t>20 Shots - 4 x 5 shots in 8 Secs</t>
  </si>
  <si>
    <t>20 Shots - 4 x 5 shots in 6 Secs</t>
  </si>
  <si>
    <t>SOUTHERN GAUTENG SPORTS SHOOTING ASSOCIATION</t>
  </si>
  <si>
    <t>Date Shot</t>
  </si>
  <si>
    <t>Graded</t>
  </si>
  <si>
    <t>Reshlan Nagoor</t>
  </si>
  <si>
    <t>BRONZE  up to 499,   SILVER &lt; 530,  GOLD &lt;560, MASTER over 559</t>
  </si>
  <si>
    <t>Rob James</t>
  </si>
  <si>
    <t>Air Pistol JUNIORS- UNDER 13 - Seated, both Hands</t>
  </si>
  <si>
    <t>50M Free Pistol</t>
  </si>
  <si>
    <t>Mornay de Beer</t>
  </si>
  <si>
    <t>#21</t>
  </si>
  <si>
    <t>OPEN EVENT:  The best score wins!</t>
  </si>
  <si>
    <t>50 Yards - Open</t>
  </si>
  <si>
    <t>Air Pistol JUNIORS- UNDER 21 - Unsupported</t>
  </si>
  <si>
    <t>OPEN</t>
  </si>
  <si>
    <t>BRONZE up to 479,   SILVER &lt; 520,  GOLD &lt;540, MASTER over 540</t>
  </si>
  <si>
    <t>BRONZE up to 499,   SILVER &lt;520,  GOLD &lt;560, MASTER over 560</t>
  </si>
  <si>
    <t>Military Rapid Fire - .22  Pistol</t>
  </si>
  <si>
    <t>#12</t>
  </si>
  <si>
    <t>#9</t>
  </si>
  <si>
    <t>#10</t>
  </si>
  <si>
    <t>#11</t>
  </si>
  <si>
    <t>Bradley Anderson</t>
  </si>
  <si>
    <t>Michael Anderson</t>
  </si>
  <si>
    <t>Madelaine Bloemhof</t>
  </si>
  <si>
    <t>Von Zeuner Kuhne</t>
  </si>
  <si>
    <t>Reagan McAslin</t>
  </si>
  <si>
    <t>Paul Smit</t>
  </si>
  <si>
    <t>Charles Cockrell</t>
  </si>
  <si>
    <t>Jon Marais</t>
  </si>
  <si>
    <t>Evert Potgieter</t>
  </si>
  <si>
    <t>Elsja Swart</t>
  </si>
  <si>
    <t>Franko Swart</t>
  </si>
  <si>
    <t>Kristian Leigh Cockrell</t>
  </si>
  <si>
    <t>Brian Hallis</t>
  </si>
  <si>
    <t>Carine Potgieter</t>
  </si>
  <si>
    <t>Adrian Brislin</t>
  </si>
  <si>
    <t>Shafi Gilbert</t>
  </si>
  <si>
    <t>Heinrich Mommsen</t>
  </si>
  <si>
    <t>Charlie Watts</t>
  </si>
  <si>
    <t>Sean Myers</t>
  </si>
  <si>
    <t>Andy Charalambous</t>
  </si>
  <si>
    <t>Prov</t>
  </si>
  <si>
    <t>CG</t>
  </si>
  <si>
    <t>SG</t>
  </si>
  <si>
    <t>SANDF</t>
  </si>
  <si>
    <t>SAPS</t>
  </si>
  <si>
    <t>Prov.</t>
  </si>
  <si>
    <t>#</t>
  </si>
  <si>
    <t>GN</t>
  </si>
  <si>
    <t>Jon Morais</t>
  </si>
  <si>
    <t>Andrew Nixon</t>
  </si>
  <si>
    <t>PJ Janse v Rensburg</t>
  </si>
  <si>
    <t>PJ Janse V Rensburg</t>
  </si>
  <si>
    <t>P1</t>
  </si>
  <si>
    <t>Gavin Jones</t>
  </si>
  <si>
    <t>P2</t>
  </si>
  <si>
    <t>Zane Courie</t>
  </si>
  <si>
    <t>P3</t>
  </si>
  <si>
    <t>Lee Pottier</t>
  </si>
  <si>
    <t>P4</t>
  </si>
  <si>
    <t>Tawfeeq Ally</t>
  </si>
  <si>
    <t>G Allie</t>
  </si>
  <si>
    <t>G  Allie</t>
  </si>
  <si>
    <t>Andre Goldschagg</t>
  </si>
  <si>
    <t>Bruce Nothling</t>
  </si>
  <si>
    <t>Kevin Matthews</t>
  </si>
  <si>
    <t>KZN</t>
  </si>
  <si>
    <t>Mark Walton</t>
  </si>
  <si>
    <t>Dave Campbell</t>
  </si>
  <si>
    <t>Rashied Barnes</t>
  </si>
  <si>
    <t>Robert King</t>
  </si>
  <si>
    <t>Karel Schutte</t>
  </si>
  <si>
    <t>WC</t>
  </si>
  <si>
    <t>Stewart Palmer</t>
  </si>
  <si>
    <t>Riaz Arendse</t>
  </si>
  <si>
    <t>Max No. Shots:</t>
  </si>
  <si>
    <t>DO NOT  DELETE OR USE THIS COLUMN!</t>
  </si>
  <si>
    <t>Shot count</t>
  </si>
  <si>
    <t>Do not delete or use this column</t>
  </si>
  <si>
    <t>Max. No of Shots:</t>
  </si>
  <si>
    <t>Max. no  of Shots:</t>
  </si>
  <si>
    <t>FULL SCORE:</t>
  </si>
  <si>
    <t>FULL SCORE</t>
  </si>
  <si>
    <t>Faizal Reganie</t>
  </si>
  <si>
    <t>Mark Hanmer</t>
  </si>
  <si>
    <t>CPC Smit</t>
  </si>
  <si>
    <t>Yusaf Cupido</t>
  </si>
  <si>
    <t>Keith Roberts</t>
  </si>
  <si>
    <t>Ian Measures</t>
  </si>
  <si>
    <t>Anthony Grobler</t>
  </si>
  <si>
    <t>Moyadien Begg</t>
  </si>
  <si>
    <t>Mike Mortemore</t>
  </si>
  <si>
    <t>GS v d Westhuizen</t>
  </si>
  <si>
    <t>Douglas Legg</t>
  </si>
  <si>
    <t>Veene van Rensburg</t>
  </si>
  <si>
    <t>John Vorster</t>
  </si>
  <si>
    <t>Lizette Roos</t>
  </si>
  <si>
    <t>Wihan Pienaar</t>
  </si>
  <si>
    <t>Wimpie Pienaar</t>
  </si>
  <si>
    <t>Kevin Neethling</t>
  </si>
  <si>
    <t>PPa</t>
  </si>
  <si>
    <t>PPb</t>
  </si>
  <si>
    <t>Ppo</t>
  </si>
  <si>
    <t>SPa</t>
  </si>
  <si>
    <t>SPb</t>
  </si>
  <si>
    <t>SPo</t>
  </si>
  <si>
    <t>Poc</t>
  </si>
  <si>
    <t>Mag</t>
  </si>
  <si>
    <t>Christo v d Merwe</t>
  </si>
  <si>
    <t>David Dickens</t>
  </si>
  <si>
    <t>Puven Govender</t>
  </si>
  <si>
    <t>F A J van Vuuren</t>
  </si>
  <si>
    <t>Keith Evans</t>
  </si>
  <si>
    <t>Tara Evans</t>
  </si>
  <si>
    <t>Slade Evans</t>
  </si>
  <si>
    <t>Frank Da Horta</t>
  </si>
  <si>
    <t>C I Pretorius</t>
  </si>
  <si>
    <t>JJ Markgraaff</t>
  </si>
  <si>
    <t>Dave Steyn</t>
  </si>
  <si>
    <t>Jared van Rooy</t>
  </si>
  <si>
    <t>Franco Swart</t>
  </si>
  <si>
    <t>Saturday 25th February, Friday 3rd March &amp; Saturday 4th MARCH, 2023</t>
  </si>
  <si>
    <t>Andre Alexander</t>
  </si>
  <si>
    <t>A1</t>
  </si>
  <si>
    <t>M4</t>
  </si>
  <si>
    <t>M9</t>
  </si>
  <si>
    <t>M1</t>
  </si>
  <si>
    <t>N2</t>
  </si>
  <si>
    <t>CARRY GUN</t>
  </si>
  <si>
    <t>C1</t>
  </si>
  <si>
    <t>B1</t>
  </si>
  <si>
    <t>N1</t>
  </si>
  <si>
    <t>C2</t>
  </si>
  <si>
    <t>C3</t>
  </si>
  <si>
    <t>P H du Toit</t>
  </si>
  <si>
    <t>PH du Toit</t>
  </si>
  <si>
    <t>FF da Horta</t>
  </si>
  <si>
    <t>NEW</t>
  </si>
  <si>
    <t>New</t>
  </si>
  <si>
    <t>H Dike</t>
  </si>
  <si>
    <t>D4</t>
  </si>
  <si>
    <t>D5</t>
  </si>
  <si>
    <t>D6</t>
  </si>
  <si>
    <t>Matthew dos Santos</t>
  </si>
  <si>
    <t>Matthew Dos Santos</t>
  </si>
  <si>
    <t>E1</t>
  </si>
  <si>
    <t>F1</t>
  </si>
  <si>
    <t>POLICE RIFLE - OPEN</t>
  </si>
  <si>
    <t>?</t>
  </si>
  <si>
    <t>Open</t>
  </si>
  <si>
    <t>E2</t>
  </si>
  <si>
    <t>G1</t>
  </si>
  <si>
    <t>M3</t>
  </si>
  <si>
    <t>M2</t>
  </si>
  <si>
    <t>K2</t>
  </si>
  <si>
    <t>M5</t>
  </si>
  <si>
    <t>SSA</t>
  </si>
  <si>
    <t>SERVICE RIFLE - OPEN</t>
  </si>
  <si>
    <t>PP2</t>
  </si>
  <si>
    <t>OM</t>
  </si>
  <si>
    <t>15P</t>
  </si>
  <si>
    <t>15R</t>
  </si>
  <si>
    <t>DP</t>
  </si>
  <si>
    <t>Dp</t>
  </si>
  <si>
    <t>DR</t>
  </si>
  <si>
    <t>SR</t>
  </si>
  <si>
    <t>600P</t>
  </si>
  <si>
    <t>600R</t>
  </si>
  <si>
    <t>PRo</t>
  </si>
  <si>
    <t>SR0</t>
  </si>
  <si>
    <t>E3</t>
  </si>
  <si>
    <t>K1</t>
  </si>
  <si>
    <t>S1</t>
  </si>
  <si>
    <t>SP</t>
  </si>
  <si>
    <t>H1</t>
  </si>
  <si>
    <t>AP</t>
  </si>
  <si>
    <t>Std</t>
  </si>
  <si>
    <t>G2</t>
  </si>
  <si>
    <t>FP</t>
  </si>
  <si>
    <t>CF</t>
  </si>
  <si>
    <t>MIL</t>
  </si>
  <si>
    <t>J1</t>
  </si>
  <si>
    <t>H J Koen</t>
  </si>
  <si>
    <t>HJ  Koen</t>
  </si>
  <si>
    <t>K3</t>
  </si>
  <si>
    <t>Stephen Krog</t>
  </si>
  <si>
    <t>L1</t>
  </si>
  <si>
    <t>M7</t>
  </si>
  <si>
    <t>K4</t>
  </si>
  <si>
    <t>M6</t>
  </si>
  <si>
    <t>Lerato Mpuru</t>
  </si>
  <si>
    <t>Ken Nixon</t>
  </si>
  <si>
    <t>Kaylan Duvehage</t>
  </si>
  <si>
    <t>N3</t>
  </si>
  <si>
    <t>J B Rahube</t>
  </si>
  <si>
    <t>Danny Ryan</t>
  </si>
  <si>
    <t>Alan Ridgard</t>
  </si>
  <si>
    <t>R Stallenberg</t>
  </si>
  <si>
    <t>S2</t>
  </si>
  <si>
    <t>Colin Strecker</t>
  </si>
  <si>
    <t>WP</t>
  </si>
  <si>
    <t>S4</t>
  </si>
  <si>
    <t>A J C Thompson</t>
  </si>
  <si>
    <t>AJC Thompson</t>
  </si>
  <si>
    <t>V1</t>
  </si>
  <si>
    <t>V3</t>
  </si>
  <si>
    <t>Veene Janse van Rensburg</t>
  </si>
  <si>
    <t>Veene J van Rensburg</t>
  </si>
  <si>
    <t>V4</t>
  </si>
  <si>
    <t>Chivine Janse van Rensburg</t>
  </si>
  <si>
    <t>V5</t>
  </si>
  <si>
    <t>Wilbie Venter</t>
  </si>
  <si>
    <t>V6</t>
  </si>
  <si>
    <t>Christo van de Merwe</t>
  </si>
  <si>
    <t>W1</t>
  </si>
  <si>
    <t>W2</t>
  </si>
  <si>
    <t>JA1</t>
  </si>
  <si>
    <t>JR1</t>
  </si>
  <si>
    <t>Jonathan Ridgard</t>
  </si>
  <si>
    <t>Tyler Morrison</t>
  </si>
  <si>
    <t>new</t>
  </si>
  <si>
    <t>2024?</t>
  </si>
  <si>
    <t>T4</t>
  </si>
  <si>
    <t>Jeremy Taylor</t>
  </si>
  <si>
    <t>J4</t>
  </si>
  <si>
    <t>Matthew Blignaut</t>
  </si>
  <si>
    <t>Robert Flee</t>
  </si>
  <si>
    <t>Antoinette Kotze</t>
  </si>
  <si>
    <t xml:space="preserve">  </t>
  </si>
  <si>
    <t>PP8:16a</t>
  </si>
  <si>
    <t>Kristian-Leigh Cockrell</t>
  </si>
  <si>
    <t>25M ISSF Target - DELIBERATE-  5 Sighters then TWO targets of 15 shots</t>
  </si>
  <si>
    <r>
      <t xml:space="preserve">25M ISSF Target - </t>
    </r>
    <r>
      <rPr>
        <b/>
        <sz val="12"/>
        <color rgb="FF0000FF"/>
        <rFont val="Calibri"/>
        <family val="2"/>
        <scheme val="minor"/>
      </rPr>
      <t>DUELING</t>
    </r>
    <r>
      <rPr>
        <b/>
        <sz val="12"/>
        <color theme="1"/>
        <rFont val="Calibri"/>
        <family val="2"/>
        <scheme val="minor"/>
      </rPr>
      <t xml:space="preserve">  - 5 Sighters then THREE targets of 10 shots</t>
    </r>
  </si>
  <si>
    <t>TOTAL COMPETITORS</t>
  </si>
  <si>
    <t>RFP</t>
  </si>
  <si>
    <t>FEES STILL DUE</t>
  </si>
  <si>
    <t>Hamish Deal</t>
  </si>
  <si>
    <t>B4</t>
  </si>
  <si>
    <t>Brian Brittain</t>
  </si>
  <si>
    <t>Francois van Tonder</t>
  </si>
  <si>
    <t>B7</t>
  </si>
  <si>
    <t>Eddoe Bouwer</t>
  </si>
  <si>
    <t>H8</t>
  </si>
  <si>
    <t>Mike Halley</t>
  </si>
  <si>
    <t>W8</t>
  </si>
  <si>
    <t>Ross Wyngaard</t>
  </si>
  <si>
    <t>N8</t>
  </si>
  <si>
    <t>M10</t>
  </si>
  <si>
    <t>D8</t>
  </si>
  <si>
    <t>Neville Drenen</t>
  </si>
  <si>
    <t>V7</t>
  </si>
  <si>
    <t>postal</t>
  </si>
  <si>
    <t>Lester Goldman</t>
  </si>
  <si>
    <t>CPC SMIT</t>
  </si>
  <si>
    <t>25/02/2023</t>
  </si>
  <si>
    <t>25M Air Pistol Match</t>
  </si>
  <si>
    <t>Jaden Mulena</t>
  </si>
  <si>
    <t>Postal</t>
  </si>
  <si>
    <t>Jadon Mulena</t>
  </si>
  <si>
    <t>P Govender</t>
  </si>
  <si>
    <t>Dave Dickens</t>
  </si>
  <si>
    <t>Bruce Paul</t>
  </si>
  <si>
    <t>Preven Govender</t>
  </si>
  <si>
    <t>Von Zeuner Kohne</t>
  </si>
  <si>
    <t>03/03/2023</t>
  </si>
  <si>
    <t>Christo Crous</t>
  </si>
  <si>
    <t>FA Janse van Vuuren</t>
  </si>
  <si>
    <t>Xabiso Linyana</t>
  </si>
  <si>
    <t>Tshita Mashige</t>
  </si>
  <si>
    <t>04/03/2023</t>
  </si>
  <si>
    <t>`</t>
  </si>
  <si>
    <t>Ebrahim</t>
  </si>
  <si>
    <t>Seam Myers</t>
  </si>
  <si>
    <t>Ebrahim Allie</t>
  </si>
  <si>
    <t>-10 points Procedural</t>
  </si>
  <si>
    <t>Ebrahim Myers</t>
  </si>
  <si>
    <t>Air Pistol JUNIORS- UNDER 16 - Supported</t>
  </si>
  <si>
    <t xml:space="preserve">   </t>
  </si>
  <si>
    <t>Ebrahin Allie</t>
  </si>
  <si>
    <t>Chrito Crous</t>
  </si>
  <si>
    <t>04/03/20230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</si>
</sst>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1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i/>
      <u/>
      <sz val="12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sz val="12"/>
      <color rgb="FF0000FF"/>
      <name val="Arial Narrow"/>
      <family val="2"/>
    </font>
    <font>
      <b/>
      <sz val="18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rgb="FF0000FF"/>
      <name val="Calibri"/>
      <family val="2"/>
    </font>
    <font>
      <b/>
      <sz val="12"/>
      <color rgb="FF0000FF"/>
      <name val="Arial Narrow"/>
      <family val="2"/>
    </font>
    <font>
      <b/>
      <sz val="12"/>
      <name val="Calibri"/>
      <family val="2"/>
    </font>
    <font>
      <sz val="14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1"/>
      <color rgb="FF0000FF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0000FF"/>
      <name val="Arial Narrow"/>
      <family val="2"/>
    </font>
    <font>
      <b/>
      <i/>
      <sz val="16"/>
      <color rgb="FF0000FF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FF"/>
      <name val="Arial Narrow"/>
      <family val="2"/>
    </font>
    <font>
      <sz val="12"/>
      <color rgb="FF0000FF"/>
      <name val="Arial Narrow"/>
      <family val="2"/>
    </font>
    <font>
      <sz val="11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FF"/>
      <name val="Arial Narrow"/>
      <family val="2"/>
    </font>
    <font>
      <b/>
      <sz val="12"/>
      <color rgb="FF0000FF"/>
      <name val="Calibri"/>
      <family val="2"/>
    </font>
    <font>
      <b/>
      <i/>
      <sz val="16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rgb="FF0000FF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0"/>
      <color rgb="FF0000FF"/>
      <name val="Arial Narrow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Arial Narrow"/>
      <family val="2"/>
    </font>
    <font>
      <sz val="10"/>
      <color rgb="FF0000FF"/>
      <name val="Arial Narrow"/>
      <family val="2"/>
    </font>
    <font>
      <b/>
      <sz val="14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0"/>
      <color rgb="FF000000"/>
      <name val="Arial Narrow"/>
      <family val="2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color rgb="FF800000"/>
      <name val="Arial Narrow"/>
      <family val="2"/>
    </font>
    <font>
      <b/>
      <sz val="12"/>
      <color rgb="FF800000"/>
      <name val="Arial Narrow"/>
      <family val="2"/>
    </font>
    <font>
      <b/>
      <i/>
      <sz val="11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4"/>
      <color rgb="FFFF0000"/>
      <name val="Arial Narrow"/>
      <family val="2"/>
    </font>
    <font>
      <b/>
      <sz val="12"/>
      <color rgb="FF0000FF"/>
      <name val="Arial"/>
      <family val="2"/>
    </font>
    <font>
      <b/>
      <sz val="11"/>
      <color rgb="FFFF0000"/>
      <name val="Arial"/>
      <family val="2"/>
    </font>
    <font>
      <b/>
      <i/>
      <sz val="14"/>
      <color rgb="FFFF0000"/>
      <name val="Arial Narrow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0000FF"/>
      <name val="Arial"/>
      <family val="2"/>
    </font>
    <font>
      <b/>
      <sz val="12"/>
      <color rgb="FF800000"/>
      <name val="Arial"/>
      <family val="2"/>
    </font>
    <font>
      <i/>
      <sz val="12"/>
      <color rgb="FF0000FF"/>
      <name val="Calibri"/>
      <family val="2"/>
      <scheme val="minor"/>
    </font>
    <font>
      <b/>
      <sz val="12"/>
      <color rgb="FFC00000"/>
      <name val="Arial Narrow"/>
      <family val="2"/>
    </font>
    <font>
      <b/>
      <sz val="12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i/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</borders>
  <cellStyleXfs count="17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82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3" fillId="0" borderId="16" xfId="0" quotePrefix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24" fillId="0" borderId="14" xfId="0" applyFont="1" applyBorder="1" applyAlignment="1">
      <alignment vertical="center"/>
    </xf>
    <xf numFmtId="0" fontId="16" fillId="0" borderId="45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4" fillId="0" borderId="7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48" fillId="0" borderId="51" xfId="0" applyFont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8" fillId="0" borderId="59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48" fillId="0" borderId="55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47" fillId="0" borderId="58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47" fillId="0" borderId="78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47" fillId="0" borderId="73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7" fillId="0" borderId="64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58" fillId="0" borderId="7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58" fillId="0" borderId="74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0" fontId="58" fillId="0" borderId="7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59" fillId="0" borderId="55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16" fontId="27" fillId="0" borderId="39" xfId="0" applyNumberFormat="1" applyFont="1" applyBorder="1" applyAlignment="1">
      <alignment horizontal="center" vertical="center"/>
    </xf>
    <xf numFmtId="14" fontId="67" fillId="0" borderId="58" xfId="0" applyNumberFormat="1" applyFont="1" applyBorder="1" applyAlignment="1">
      <alignment horizontal="center" vertical="center"/>
    </xf>
    <xf numFmtId="14" fontId="67" fillId="0" borderId="51" xfId="0" applyNumberFormat="1" applyFont="1" applyBorder="1" applyAlignment="1">
      <alignment horizontal="center" vertical="center"/>
    </xf>
    <xf numFmtId="14" fontId="67" fillId="0" borderId="5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6" fillId="0" borderId="73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14" fontId="67" fillId="0" borderId="52" xfId="0" applyNumberFormat="1" applyFont="1" applyBorder="1" applyAlignment="1">
      <alignment horizontal="center" vertical="center"/>
    </xf>
    <xf numFmtId="14" fontId="67" fillId="0" borderId="59" xfId="0" applyNumberFormat="1" applyFont="1" applyBorder="1" applyAlignment="1">
      <alignment horizontal="center" vertical="center"/>
    </xf>
    <xf numFmtId="0" fontId="69" fillId="0" borderId="52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52" fillId="0" borderId="55" xfId="0" applyFont="1" applyBorder="1" applyAlignment="1">
      <alignment horizontal="center" vertical="center"/>
    </xf>
    <xf numFmtId="0" fontId="52" fillId="0" borderId="53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52" fillId="0" borderId="71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0" fontId="52" fillId="0" borderId="70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/>
    </xf>
    <xf numFmtId="0" fontId="68" fillId="0" borderId="79" xfId="0" applyFont="1" applyBorder="1" applyAlignment="1">
      <alignment vertical="center"/>
    </xf>
    <xf numFmtId="0" fontId="68" fillId="0" borderId="79" xfId="0" applyFont="1" applyBorder="1" applyAlignment="1">
      <alignment vertical="center" wrapText="1"/>
    </xf>
    <xf numFmtId="0" fontId="66" fillId="0" borderId="13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0" borderId="16" xfId="0" applyFont="1" applyBorder="1" applyAlignment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66" fillId="0" borderId="78" xfId="0" applyFont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6" fillId="0" borderId="53" xfId="0" applyFont="1" applyBorder="1" applyAlignment="1">
      <alignment horizontal="center" vertical="center"/>
    </xf>
    <xf numFmtId="0" fontId="66" fillId="0" borderId="59" xfId="0" applyFont="1" applyBorder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6" fillId="0" borderId="55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0" fontId="66" fillId="0" borderId="51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4" xfId="0" applyFont="1" applyBorder="1" applyAlignment="1">
      <alignment horizontal="center" vertical="center"/>
    </xf>
    <xf numFmtId="0" fontId="66" fillId="0" borderId="52" xfId="0" applyFont="1" applyBorder="1" applyAlignment="1">
      <alignment horizontal="center" vertical="center"/>
    </xf>
    <xf numFmtId="0" fontId="68" fillId="0" borderId="47" xfId="0" applyFont="1" applyBorder="1" applyAlignment="1">
      <alignment vertical="center"/>
    </xf>
    <xf numFmtId="0" fontId="68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74" xfId="0" applyFont="1" applyBorder="1" applyAlignment="1">
      <alignment horizontal="center" vertical="center"/>
    </xf>
    <xf numFmtId="0" fontId="53" fillId="0" borderId="53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68" fillId="0" borderId="65" xfId="0" applyFont="1" applyBorder="1" applyAlignment="1">
      <alignment vertical="center"/>
    </xf>
    <xf numFmtId="0" fontId="68" fillId="0" borderId="79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69" xfId="0" applyFont="1" applyBorder="1" applyAlignment="1">
      <alignment horizontal="center" vertical="center"/>
    </xf>
    <xf numFmtId="0" fontId="66" fillId="0" borderId="41" xfId="0" applyFont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0" fontId="66" fillId="0" borderId="45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vertical="center"/>
    </xf>
    <xf numFmtId="0" fontId="58" fillId="0" borderId="61" xfId="0" applyFont="1" applyBorder="1" applyAlignment="1">
      <alignment horizontal="center" vertical="center"/>
    </xf>
    <xf numFmtId="0" fontId="58" fillId="0" borderId="63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62" xfId="0" applyFont="1" applyBorder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0" fontId="52" fillId="0" borderId="78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9" fillId="0" borderId="56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68" fillId="0" borderId="5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42" xfId="0" applyFont="1" applyBorder="1" applyAlignment="1">
      <alignment horizontal="center" vertical="center"/>
    </xf>
    <xf numFmtId="0" fontId="66" fillId="0" borderId="33" xfId="0" applyFont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66" fillId="0" borderId="14" xfId="0" applyFont="1" applyBorder="1" applyAlignment="1">
      <alignment vertical="center"/>
    </xf>
    <xf numFmtId="0" fontId="66" fillId="0" borderId="40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0" fontId="65" fillId="0" borderId="52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68" fillId="0" borderId="14" xfId="0" applyFont="1" applyBorder="1" applyAlignment="1">
      <alignment vertical="center"/>
    </xf>
    <xf numFmtId="0" fontId="70" fillId="0" borderId="13" xfId="0" applyFont="1" applyBorder="1" applyAlignment="1">
      <alignment horizontal="center" vertical="center" wrapText="1"/>
    </xf>
    <xf numFmtId="0" fontId="80" fillId="0" borderId="14" xfId="0" applyFont="1" applyBorder="1" applyAlignment="1">
      <alignment vertical="center"/>
    </xf>
    <xf numFmtId="0" fontId="80" fillId="0" borderId="13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6" fillId="0" borderId="56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68" fillId="0" borderId="66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 wrapText="1"/>
    </xf>
    <xf numFmtId="0" fontId="68" fillId="0" borderId="17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75" fillId="0" borderId="51" xfId="0" applyFont="1" applyBorder="1" applyAlignment="1">
      <alignment horizontal="center" vertical="center" wrapText="1"/>
    </xf>
    <xf numFmtId="0" fontId="68" fillId="0" borderId="67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3" fillId="2" borderId="13" xfId="0" quotePrefix="1" applyFont="1" applyFill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8" fillId="0" borderId="15" xfId="0" applyFont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58" fillId="0" borderId="73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46" xfId="0" applyFont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58" fillId="0" borderId="14" xfId="0" applyFont="1" applyBorder="1" applyAlignment="1">
      <alignment vertical="center"/>
    </xf>
    <xf numFmtId="0" fontId="58" fillId="0" borderId="15" xfId="0" applyFont="1" applyBorder="1" applyAlignment="1">
      <alignment vertical="center"/>
    </xf>
    <xf numFmtId="0" fontId="58" fillId="0" borderId="44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7" fillId="2" borderId="13" xfId="0" quotePrefix="1" applyFont="1" applyFill="1" applyBorder="1" applyAlignment="1">
      <alignment horizontal="center" vertical="center"/>
    </xf>
    <xf numFmtId="0" fontId="57" fillId="2" borderId="16" xfId="0" quotePrefix="1" applyFont="1" applyFill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43" fillId="2" borderId="16" xfId="0" quotePrefix="1" applyFont="1" applyFill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1" fontId="47" fillId="0" borderId="55" xfId="0" applyNumberFormat="1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 wrapText="1"/>
    </xf>
    <xf numFmtId="0" fontId="46" fillId="0" borderId="65" xfId="0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52" fillId="0" borderId="68" xfId="0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16" fontId="27" fillId="0" borderId="70" xfId="0" applyNumberFormat="1" applyFont="1" applyBorder="1" applyAlignment="1">
      <alignment horizontal="center" vertical="center"/>
    </xf>
    <xf numFmtId="14" fontId="87" fillId="0" borderId="51" xfId="0" applyNumberFormat="1" applyFont="1" applyBorder="1" applyAlignment="1">
      <alignment horizontal="center" vertical="center"/>
    </xf>
    <xf numFmtId="0" fontId="87" fillId="0" borderId="55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4" fontId="87" fillId="0" borderId="55" xfId="0" applyNumberFormat="1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/>
    </xf>
    <xf numFmtId="0" fontId="87" fillId="0" borderId="51" xfId="0" applyFont="1" applyBorder="1" applyAlignment="1">
      <alignment horizontal="center" vertical="center"/>
    </xf>
    <xf numFmtId="0" fontId="89" fillId="0" borderId="0" xfId="0" applyFont="1" applyAlignment="1">
      <alignment vertical="center"/>
    </xf>
    <xf numFmtId="0" fontId="72" fillId="0" borderId="55" xfId="0" applyFont="1" applyBorder="1" applyAlignment="1">
      <alignment horizontal="center" vertical="center"/>
    </xf>
    <xf numFmtId="0" fontId="72" fillId="0" borderId="66" xfId="0" applyFont="1" applyBorder="1" applyAlignment="1">
      <alignment horizontal="center" vertical="center"/>
    </xf>
    <xf numFmtId="0" fontId="72" fillId="0" borderId="13" xfId="0" applyFon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54" xfId="0" applyFont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35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66" fillId="0" borderId="60" xfId="0" applyFont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72" fillId="0" borderId="52" xfId="0" applyFont="1" applyBorder="1" applyAlignment="1">
      <alignment horizontal="center" vertical="center"/>
    </xf>
    <xf numFmtId="0" fontId="88" fillId="0" borderId="51" xfId="0" applyFont="1" applyBorder="1" applyAlignment="1">
      <alignment horizontal="right" vertical="center" wrapText="1"/>
    </xf>
    <xf numFmtId="0" fontId="72" fillId="0" borderId="14" xfId="0" applyFont="1" applyBorder="1" applyAlignment="1">
      <alignment horizontal="center" vertical="center"/>
    </xf>
    <xf numFmtId="0" fontId="72" fillId="0" borderId="70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/>
    </xf>
    <xf numFmtId="0" fontId="72" fillId="0" borderId="33" xfId="0" applyFont="1" applyBorder="1" applyAlignment="1">
      <alignment horizontal="center" vertical="center"/>
    </xf>
    <xf numFmtId="0" fontId="72" fillId="0" borderId="42" xfId="0" applyFont="1" applyBorder="1" applyAlignment="1">
      <alignment horizontal="center" vertical="center"/>
    </xf>
    <xf numFmtId="0" fontId="87" fillId="0" borderId="71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8" fillId="0" borderId="48" xfId="0" applyFont="1" applyBorder="1" applyAlignment="1">
      <alignment horizontal="center" vertical="center"/>
    </xf>
    <xf numFmtId="0" fontId="66" fillId="0" borderId="23" xfId="0" applyFont="1" applyBorder="1" applyAlignment="1">
      <alignment vertical="center"/>
    </xf>
    <xf numFmtId="0" fontId="44" fillId="0" borderId="0" xfId="0" applyFont="1" applyAlignment="1">
      <alignment horizontal="center" vertical="center" wrapText="1"/>
    </xf>
    <xf numFmtId="14" fontId="87" fillId="0" borderId="39" xfId="0" applyNumberFormat="1" applyFont="1" applyBorder="1" applyAlignment="1">
      <alignment horizontal="center" vertical="center"/>
    </xf>
    <xf numFmtId="0" fontId="87" fillId="0" borderId="74" xfId="0" applyFont="1" applyBorder="1" applyAlignment="1">
      <alignment horizontal="center" vertical="center"/>
    </xf>
    <xf numFmtId="0" fontId="87" fillId="0" borderId="70" xfId="0" applyFont="1" applyBorder="1" applyAlignment="1">
      <alignment horizontal="center" vertical="center"/>
    </xf>
    <xf numFmtId="0" fontId="87" fillId="0" borderId="33" xfId="0" applyFont="1" applyBorder="1" applyAlignment="1">
      <alignment horizontal="center" vertical="center"/>
    </xf>
    <xf numFmtId="0" fontId="87" fillId="0" borderId="73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66" fillId="0" borderId="57" xfId="0" applyFont="1" applyBorder="1" applyAlignment="1">
      <alignment horizontal="center" vertical="center"/>
    </xf>
    <xf numFmtId="0" fontId="87" fillId="0" borderId="58" xfId="0" applyFont="1" applyBorder="1" applyAlignment="1">
      <alignment horizontal="center" vertical="center"/>
    </xf>
    <xf numFmtId="0" fontId="87" fillId="0" borderId="59" xfId="0" applyFont="1" applyBorder="1" applyAlignment="1">
      <alignment horizontal="center" vertical="center"/>
    </xf>
    <xf numFmtId="0" fontId="87" fillId="0" borderId="52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91" fillId="0" borderId="34" xfId="0" applyFont="1" applyBorder="1" applyAlignment="1">
      <alignment horizontal="center" vertical="center"/>
    </xf>
    <xf numFmtId="0" fontId="91" fillId="0" borderId="69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/>
    </xf>
    <xf numFmtId="0" fontId="91" fillId="0" borderId="22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91" fillId="0" borderId="73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52" fillId="0" borderId="51" xfId="0" quotePrefix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0" fontId="52" fillId="0" borderId="74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8" fillId="0" borderId="66" xfId="0" applyFont="1" applyBorder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14" fontId="18" fillId="0" borderId="40" xfId="0" applyNumberFormat="1" applyFont="1" applyBorder="1" applyAlignment="1">
      <alignment horizontal="center" vertical="center"/>
    </xf>
    <xf numFmtId="0" fontId="65" fillId="0" borderId="53" xfId="0" applyFont="1" applyBorder="1" applyAlignment="1">
      <alignment horizontal="center" vertical="center"/>
    </xf>
    <xf numFmtId="0" fontId="90" fillId="0" borderId="52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4" fillId="0" borderId="6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52" fillId="0" borderId="4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95" fillId="5" borderId="13" xfId="0" applyFont="1" applyFill="1" applyBorder="1" applyAlignment="1">
      <alignment horizontal="center" vertical="center"/>
    </xf>
    <xf numFmtId="0" fontId="95" fillId="2" borderId="13" xfId="0" applyFont="1" applyFill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9" fillId="0" borderId="58" xfId="0" applyFont="1" applyBorder="1" applyAlignment="1">
      <alignment horizontal="center" vertical="center"/>
    </xf>
    <xf numFmtId="0" fontId="99" fillId="0" borderId="53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13" xfId="0" applyFont="1" applyBorder="1" applyAlignment="1">
      <alignment horizontal="center" vertical="center"/>
    </xf>
    <xf numFmtId="0" fontId="100" fillId="2" borderId="13" xfId="0" applyFont="1" applyFill="1" applyBorder="1" applyAlignment="1">
      <alignment horizontal="center" vertical="center"/>
    </xf>
    <xf numFmtId="0" fontId="95" fillId="2" borderId="16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5" fillId="2" borderId="41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4" fontId="67" fillId="0" borderId="21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4" fontId="67" fillId="0" borderId="3" xfId="0" applyNumberFormat="1" applyFont="1" applyBorder="1" applyAlignment="1">
      <alignment horizontal="center" vertical="center"/>
    </xf>
    <xf numFmtId="14" fontId="67" fillId="0" borderId="73" xfId="0" applyNumberFormat="1" applyFont="1" applyBorder="1" applyAlignment="1">
      <alignment horizontal="center" vertical="center"/>
    </xf>
    <xf numFmtId="0" fontId="38" fillId="0" borderId="44" xfId="0" applyFont="1" applyBorder="1" applyAlignment="1">
      <alignment vertical="center"/>
    </xf>
    <xf numFmtId="0" fontId="95" fillId="0" borderId="0" xfId="0" applyFont="1" applyAlignment="1">
      <alignment horizontal="center" vertical="center"/>
    </xf>
    <xf numFmtId="0" fontId="94" fillId="2" borderId="14" xfId="0" applyFont="1" applyFill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96" fillId="2" borderId="13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/>
    </xf>
    <xf numFmtId="0" fontId="100" fillId="0" borderId="53" xfId="0" applyFont="1" applyBorder="1" applyAlignment="1">
      <alignment horizontal="center" vertical="center"/>
    </xf>
    <xf numFmtId="0" fontId="100" fillId="0" borderId="52" xfId="0" applyFont="1" applyBorder="1" applyAlignment="1">
      <alignment horizontal="center" vertical="center"/>
    </xf>
    <xf numFmtId="0" fontId="100" fillId="0" borderId="59" xfId="0" applyFont="1" applyBorder="1" applyAlignment="1">
      <alignment horizontal="center" vertical="center"/>
    </xf>
    <xf numFmtId="0" fontId="100" fillId="0" borderId="51" xfId="0" applyFont="1" applyBorder="1" applyAlignment="1">
      <alignment horizontal="center" vertical="center"/>
    </xf>
    <xf numFmtId="0" fontId="100" fillId="0" borderId="55" xfId="0" applyFont="1" applyBorder="1" applyAlignment="1">
      <alignment horizontal="center" vertical="center"/>
    </xf>
    <xf numFmtId="0" fontId="100" fillId="0" borderId="58" xfId="0" applyFont="1" applyBorder="1" applyAlignment="1">
      <alignment horizontal="center" vertical="center"/>
    </xf>
    <xf numFmtId="0" fontId="100" fillId="0" borderId="54" xfId="0" applyFont="1" applyBorder="1" applyAlignment="1">
      <alignment horizontal="center" vertical="center"/>
    </xf>
    <xf numFmtId="0" fontId="103" fillId="0" borderId="58" xfId="0" applyFont="1" applyBorder="1" applyAlignment="1">
      <alignment horizontal="center" vertical="center"/>
    </xf>
    <xf numFmtId="0" fontId="103" fillId="0" borderId="59" xfId="0" applyFont="1" applyBorder="1" applyAlignment="1">
      <alignment horizontal="center" vertical="center"/>
    </xf>
    <xf numFmtId="0" fontId="103" fillId="0" borderId="5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66" xfId="0" applyFont="1" applyBorder="1" applyAlignment="1">
      <alignment horizontal="center" vertical="center"/>
    </xf>
    <xf numFmtId="0" fontId="103" fillId="0" borderId="54" xfId="0" applyFont="1" applyBorder="1" applyAlignment="1">
      <alignment horizontal="center" vertical="center"/>
    </xf>
    <xf numFmtId="0" fontId="103" fillId="0" borderId="55" xfId="0" applyFont="1" applyBorder="1" applyAlignment="1">
      <alignment horizontal="center" vertical="center"/>
    </xf>
    <xf numFmtId="0" fontId="100" fillId="0" borderId="24" xfId="0" applyFont="1" applyBorder="1" applyAlignment="1">
      <alignment horizontal="center" vertical="center"/>
    </xf>
    <xf numFmtId="0" fontId="103" fillId="0" borderId="53" xfId="0" applyFont="1" applyBorder="1" applyAlignment="1">
      <alignment horizontal="center" vertical="center"/>
    </xf>
    <xf numFmtId="0" fontId="98" fillId="0" borderId="31" xfId="0" applyFont="1" applyBorder="1" applyAlignment="1">
      <alignment horizontal="center" vertical="center"/>
    </xf>
    <xf numFmtId="0" fontId="98" fillId="0" borderId="24" xfId="0" applyFont="1" applyBorder="1" applyAlignment="1">
      <alignment horizontal="center" vertical="center"/>
    </xf>
    <xf numFmtId="0" fontId="98" fillId="0" borderId="79" xfId="0" applyFont="1" applyBorder="1" applyAlignment="1">
      <alignment horizontal="center" vertical="center"/>
    </xf>
    <xf numFmtId="0" fontId="98" fillId="0" borderId="37" xfId="0" applyFont="1" applyBorder="1" applyAlignment="1">
      <alignment horizontal="center" vertical="center"/>
    </xf>
    <xf numFmtId="0" fontId="98" fillId="0" borderId="76" xfId="0" applyFont="1" applyBorder="1" applyAlignment="1">
      <alignment horizontal="center" vertical="center"/>
    </xf>
    <xf numFmtId="0" fontId="98" fillId="0" borderId="75" xfId="0" applyFont="1" applyBorder="1" applyAlignment="1">
      <alignment horizontal="center" vertical="center"/>
    </xf>
    <xf numFmtId="0" fontId="104" fillId="0" borderId="31" xfId="0" applyFont="1" applyBorder="1" applyAlignment="1">
      <alignment horizontal="center" vertical="center"/>
    </xf>
    <xf numFmtId="0" fontId="104" fillId="0" borderId="24" xfId="0" applyFont="1" applyBorder="1" applyAlignment="1">
      <alignment horizontal="center" vertical="center"/>
    </xf>
    <xf numFmtId="0" fontId="105" fillId="0" borderId="55" xfId="0" applyFont="1" applyBorder="1" applyAlignment="1">
      <alignment horizontal="center" vertical="center"/>
    </xf>
    <xf numFmtId="0" fontId="106" fillId="0" borderId="54" xfId="0" applyFont="1" applyBorder="1" applyAlignment="1">
      <alignment vertical="center"/>
    </xf>
    <xf numFmtId="0" fontId="106" fillId="0" borderId="55" xfId="0" applyFont="1" applyBorder="1" applyAlignment="1">
      <alignment vertical="center"/>
    </xf>
    <xf numFmtId="0" fontId="106" fillId="0" borderId="58" xfId="0" applyFont="1" applyBorder="1" applyAlignment="1">
      <alignment vertical="center"/>
    </xf>
    <xf numFmtId="0" fontId="106" fillId="0" borderId="13" xfId="0" applyFont="1" applyBorder="1" applyAlignment="1">
      <alignment vertical="center"/>
    </xf>
    <xf numFmtId="0" fontId="103" fillId="0" borderId="37" xfId="0" applyFont="1" applyBorder="1" applyAlignment="1">
      <alignment horizontal="center" vertical="center"/>
    </xf>
    <xf numFmtId="0" fontId="103" fillId="0" borderId="24" xfId="0" applyFont="1" applyBorder="1" applyAlignment="1">
      <alignment horizontal="center" vertical="center"/>
    </xf>
    <xf numFmtId="0" fontId="103" fillId="0" borderId="76" xfId="0" applyFont="1" applyBorder="1" applyAlignment="1">
      <alignment horizontal="center" vertical="center"/>
    </xf>
    <xf numFmtId="0" fontId="105" fillId="0" borderId="13" xfId="0" applyFont="1" applyBorder="1" applyAlignment="1">
      <alignment vertical="center"/>
    </xf>
    <xf numFmtId="0" fontId="105" fillId="0" borderId="54" xfId="0" applyFont="1" applyBorder="1" applyAlignment="1">
      <alignment horizontal="center" vertical="center"/>
    </xf>
    <xf numFmtId="0" fontId="105" fillId="0" borderId="53" xfId="0" applyFont="1" applyBorder="1" applyAlignment="1">
      <alignment horizontal="center" vertical="center"/>
    </xf>
    <xf numFmtId="0" fontId="98" fillId="0" borderId="52" xfId="0" applyFont="1" applyBorder="1" applyAlignment="1">
      <alignment horizontal="center" vertical="center"/>
    </xf>
    <xf numFmtId="0" fontId="105" fillId="0" borderId="52" xfId="0" applyFont="1" applyBorder="1" applyAlignment="1">
      <alignment horizontal="center" vertical="center"/>
    </xf>
    <xf numFmtId="0" fontId="100" fillId="0" borderId="51" xfId="0" applyFont="1" applyBorder="1" applyAlignment="1">
      <alignment vertical="center"/>
    </xf>
    <xf numFmtId="0" fontId="100" fillId="0" borderId="55" xfId="0" applyFont="1" applyBorder="1" applyAlignment="1">
      <alignment vertical="center"/>
    </xf>
    <xf numFmtId="0" fontId="103" fillId="0" borderId="58" xfId="0" applyFont="1" applyBorder="1" applyAlignment="1">
      <alignment vertical="center"/>
    </xf>
    <xf numFmtId="0" fontId="103" fillId="0" borderId="55" xfId="0" applyFont="1" applyBorder="1" applyAlignment="1">
      <alignment vertical="center"/>
    </xf>
    <xf numFmtId="0" fontId="103" fillId="0" borderId="54" xfId="0" applyFont="1" applyBorder="1" applyAlignment="1">
      <alignment vertical="center"/>
    </xf>
    <xf numFmtId="0" fontId="103" fillId="0" borderId="59" xfId="0" applyFont="1" applyBorder="1" applyAlignment="1">
      <alignment vertical="center"/>
    </xf>
    <xf numFmtId="0" fontId="103" fillId="0" borderId="52" xfId="0" applyFont="1" applyBorder="1" applyAlignment="1">
      <alignment vertical="center"/>
    </xf>
    <xf numFmtId="0" fontId="103" fillId="0" borderId="66" xfId="0" applyFont="1" applyBorder="1" applyAlignment="1">
      <alignment vertical="center"/>
    </xf>
    <xf numFmtId="0" fontId="103" fillId="0" borderId="51" xfId="0" applyFont="1" applyBorder="1" applyAlignment="1">
      <alignment vertical="center"/>
    </xf>
    <xf numFmtId="0" fontId="103" fillId="0" borderId="53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10" fillId="0" borderId="15" xfId="0" applyFont="1" applyBorder="1" applyAlignment="1">
      <alignment horizontal="center" vertical="center"/>
    </xf>
    <xf numFmtId="0" fontId="109" fillId="0" borderId="40" xfId="0" applyFont="1" applyBorder="1" applyAlignment="1">
      <alignment horizontal="center" vertical="center"/>
    </xf>
    <xf numFmtId="0" fontId="109" fillId="0" borderId="73" xfId="0" applyFont="1" applyBorder="1" applyAlignment="1">
      <alignment horizontal="center" vertical="center"/>
    </xf>
    <xf numFmtId="0" fontId="109" fillId="0" borderId="21" xfId="0" applyFont="1" applyBorder="1" applyAlignment="1">
      <alignment horizontal="center" vertical="center"/>
    </xf>
    <xf numFmtId="0" fontId="109" fillId="0" borderId="43" xfId="0" applyFont="1" applyBorder="1" applyAlignment="1">
      <alignment horizontal="center" vertical="center"/>
    </xf>
    <xf numFmtId="0" fontId="111" fillId="0" borderId="66" xfId="0" applyFont="1" applyBorder="1" applyAlignment="1">
      <alignment horizontal="center" vertical="center"/>
    </xf>
    <xf numFmtId="0" fontId="110" fillId="0" borderId="14" xfId="0" applyFont="1" applyBorder="1" applyAlignment="1">
      <alignment horizontal="center" vertical="center"/>
    </xf>
    <xf numFmtId="0" fontId="109" fillId="0" borderId="78" xfId="0" applyFont="1" applyBorder="1" applyAlignment="1">
      <alignment horizontal="center" vertical="center"/>
    </xf>
    <xf numFmtId="0" fontId="109" fillId="0" borderId="3" xfId="0" applyFont="1" applyBorder="1" applyAlignment="1">
      <alignment horizontal="center" vertical="center"/>
    </xf>
    <xf numFmtId="0" fontId="109" fillId="0" borderId="56" xfId="0" applyFont="1" applyBorder="1" applyAlignment="1">
      <alignment horizontal="center" vertical="center"/>
    </xf>
    <xf numFmtId="0" fontId="109" fillId="0" borderId="15" xfId="0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0" fontId="110" fillId="0" borderId="33" xfId="0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9" fillId="0" borderId="22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 vertical="center"/>
    </xf>
    <xf numFmtId="0" fontId="109" fillId="0" borderId="69" xfId="0" applyFont="1" applyBorder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1" fillId="0" borderId="42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43" xfId="0" applyFont="1" applyBorder="1" applyAlignment="1">
      <alignment horizontal="center" vertical="center"/>
    </xf>
    <xf numFmtId="0" fontId="112" fillId="4" borderId="42" xfId="0" applyFont="1" applyFill="1" applyBorder="1" applyAlignment="1">
      <alignment horizontal="center" vertical="center"/>
    </xf>
    <xf numFmtId="0" fontId="109" fillId="0" borderId="71" xfId="0" applyFont="1" applyBorder="1" applyAlignment="1">
      <alignment horizontal="center" vertical="center"/>
    </xf>
    <xf numFmtId="0" fontId="110" fillId="0" borderId="25" xfId="0" applyFont="1" applyBorder="1" applyAlignment="1">
      <alignment horizontal="center" vertical="center"/>
    </xf>
    <xf numFmtId="0" fontId="109" fillId="0" borderId="39" xfId="0" applyFont="1" applyBorder="1" applyAlignment="1">
      <alignment horizontal="center" vertical="center"/>
    </xf>
    <xf numFmtId="0" fontId="106" fillId="0" borderId="66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106" fillId="0" borderId="53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09" fillId="0" borderId="70" xfId="0" applyFont="1" applyBorder="1" applyAlignment="1">
      <alignment horizontal="center" vertical="center"/>
    </xf>
    <xf numFmtId="0" fontId="109" fillId="0" borderId="5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109" fillId="0" borderId="5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98" fillId="0" borderId="51" xfId="0" applyFont="1" applyBorder="1" applyAlignment="1">
      <alignment horizontal="center" vertical="center"/>
    </xf>
    <xf numFmtId="0" fontId="98" fillId="0" borderId="55" xfId="0" applyFont="1" applyBorder="1" applyAlignment="1">
      <alignment horizontal="center" vertical="center"/>
    </xf>
    <xf numFmtId="0" fontId="98" fillId="0" borderId="54" xfId="0" applyFont="1" applyBorder="1" applyAlignment="1">
      <alignment horizontal="center" vertical="center"/>
    </xf>
    <xf numFmtId="0" fontId="98" fillId="0" borderId="66" xfId="0" applyFont="1" applyBorder="1" applyAlignment="1">
      <alignment horizontal="center" vertical="center"/>
    </xf>
    <xf numFmtId="0" fontId="98" fillId="0" borderId="59" xfId="0" applyFont="1" applyBorder="1" applyAlignment="1">
      <alignment horizontal="center" vertical="center"/>
    </xf>
    <xf numFmtId="0" fontId="59" fillId="0" borderId="4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16" fontId="27" fillId="0" borderId="74" xfId="0" applyNumberFormat="1" applyFont="1" applyBorder="1" applyAlignment="1">
      <alignment horizontal="center" vertical="center"/>
    </xf>
    <xf numFmtId="14" fontId="18" fillId="0" borderId="46" xfId="0" applyNumberFormat="1" applyFont="1" applyBorder="1" applyAlignment="1">
      <alignment horizontal="center" vertical="center"/>
    </xf>
    <xf numFmtId="0" fontId="99" fillId="2" borderId="33" xfId="0" applyFont="1" applyFill="1" applyBorder="1" applyAlignment="1">
      <alignment horizontal="center" vertical="center" wrapText="1"/>
    </xf>
    <xf numFmtId="0" fontId="99" fillId="2" borderId="34" xfId="0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109" fillId="0" borderId="5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14" fontId="18" fillId="0" borderId="39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92" fillId="0" borderId="64" xfId="0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/>
    </xf>
    <xf numFmtId="0" fontId="92" fillId="0" borderId="57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/>
    </xf>
    <xf numFmtId="0" fontId="100" fillId="0" borderId="46" xfId="0" applyFont="1" applyBorder="1" applyAlignment="1">
      <alignment horizontal="center" vertical="center"/>
    </xf>
    <xf numFmtId="0" fontId="100" fillId="0" borderId="69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0" fontId="99" fillId="0" borderId="14" xfId="0" applyFont="1" applyBorder="1" applyAlignment="1">
      <alignment horizontal="center" vertical="center"/>
    </xf>
    <xf numFmtId="0" fontId="99" fillId="0" borderId="16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9" fillId="0" borderId="15" xfId="0" applyFont="1" applyBorder="1" applyAlignment="1">
      <alignment horizontal="center" vertical="center"/>
    </xf>
    <xf numFmtId="0" fontId="99" fillId="0" borderId="39" xfId="0" applyFont="1" applyBorder="1" applyAlignment="1">
      <alignment horizontal="center" vertical="center"/>
    </xf>
    <xf numFmtId="0" fontId="99" fillId="0" borderId="40" xfId="0" applyFont="1" applyBorder="1" applyAlignment="1">
      <alignment horizontal="center" vertical="center"/>
    </xf>
    <xf numFmtId="0" fontId="99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66" fillId="0" borderId="4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09" fillId="0" borderId="74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7" fillId="0" borderId="51" xfId="0" quotePrefix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1" fontId="47" fillId="0" borderId="58" xfId="0" applyNumberFormat="1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109" fillId="0" borderId="5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20" fillId="0" borderId="13" xfId="0" quotePrefix="1" applyFont="1" applyBorder="1" applyAlignment="1">
      <alignment horizontal="center" vertical="center"/>
    </xf>
    <xf numFmtId="0" fontId="20" fillId="0" borderId="51" xfId="0" quotePrefix="1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6" fontId="52" fillId="0" borderId="71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101" fillId="0" borderId="42" xfId="0" applyFont="1" applyBorder="1" applyAlignment="1">
      <alignment vertical="center"/>
    </xf>
    <xf numFmtId="0" fontId="46" fillId="0" borderId="4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87" fillId="0" borderId="13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70" fillId="0" borderId="79" xfId="0" applyFont="1" applyBorder="1" applyAlignment="1">
      <alignment vertical="center"/>
    </xf>
    <xf numFmtId="0" fontId="5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70" fillId="0" borderId="6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74" fillId="0" borderId="33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74" xfId="0" applyFont="1" applyBorder="1" applyAlignment="1">
      <alignment horizontal="center" vertical="center"/>
    </xf>
    <xf numFmtId="0" fontId="74" fillId="0" borderId="42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98" fillId="0" borderId="1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2" fillId="0" borderId="39" xfId="0" quotePrefix="1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48" fillId="0" borderId="74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58" fillId="0" borderId="53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54" fillId="0" borderId="76" xfId="0" applyFont="1" applyBorder="1" applyAlignment="1">
      <alignment horizontal="center" vertical="center"/>
    </xf>
    <xf numFmtId="0" fontId="95" fillId="2" borderId="51" xfId="0" applyFont="1" applyFill="1" applyBorder="1" applyAlignment="1">
      <alignment horizontal="center" vertical="center"/>
    </xf>
    <xf numFmtId="0" fontId="100" fillId="2" borderId="51" xfId="0" applyFont="1" applyFill="1" applyBorder="1" applyAlignment="1">
      <alignment horizontal="center" vertical="center"/>
    </xf>
    <xf numFmtId="0" fontId="68" fillId="0" borderId="19" xfId="0" applyFont="1" applyBorder="1" applyAlignment="1">
      <alignment horizontal="center" vertical="center" wrapText="1"/>
    </xf>
    <xf numFmtId="0" fontId="100" fillId="0" borderId="31" xfId="0" applyFont="1" applyBorder="1" applyAlignment="1">
      <alignment horizontal="center" vertical="center"/>
    </xf>
    <xf numFmtId="0" fontId="100" fillId="0" borderId="37" xfId="0" applyFont="1" applyBorder="1" applyAlignment="1">
      <alignment horizontal="center" vertical="center"/>
    </xf>
    <xf numFmtId="0" fontId="52" fillId="0" borderId="50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62" xfId="0" applyFont="1" applyBorder="1" applyAlignment="1">
      <alignment horizontal="center" vertical="center"/>
    </xf>
    <xf numFmtId="1" fontId="47" fillId="0" borderId="59" xfId="0" applyNumberFormat="1" applyFont="1" applyBorder="1" applyAlignment="1">
      <alignment horizontal="center" vertical="center"/>
    </xf>
    <xf numFmtId="1" fontId="47" fillId="0" borderId="52" xfId="0" applyNumberFormat="1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73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100" fillId="0" borderId="75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103" fillId="0" borderId="31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103" fillId="0" borderId="22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 vertical="center"/>
    </xf>
    <xf numFmtId="0" fontId="103" fillId="0" borderId="69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103" fillId="0" borderId="45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55" fillId="0" borderId="39" xfId="0" applyFont="1" applyBorder="1" applyAlignment="1">
      <alignment horizontal="center" vertical="center"/>
    </xf>
    <xf numFmtId="0" fontId="100" fillId="0" borderId="34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1" fontId="47" fillId="0" borderId="21" xfId="0" applyNumberFormat="1" applyFont="1" applyBorder="1" applyAlignment="1">
      <alignment horizontal="center" vertical="center"/>
    </xf>
    <xf numFmtId="1" fontId="47" fillId="0" borderId="3" xfId="0" applyNumberFormat="1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73" xfId="0" applyFont="1" applyBorder="1" applyAlignment="1">
      <alignment horizontal="center" vertical="center"/>
    </xf>
    <xf numFmtId="0" fontId="66" fillId="0" borderId="39" xfId="0" applyFont="1" applyBorder="1" applyAlignment="1">
      <alignment vertical="center"/>
    </xf>
    <xf numFmtId="0" fontId="44" fillId="0" borderId="51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101" fillId="0" borderId="66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0" fontId="107" fillId="0" borderId="37" xfId="0" applyFont="1" applyBorder="1" applyAlignment="1">
      <alignment vertical="center"/>
    </xf>
    <xf numFmtId="0" fontId="72" fillId="0" borderId="10" xfId="0" applyFont="1" applyBorder="1" applyAlignment="1">
      <alignment horizontal="center" vertical="center"/>
    </xf>
    <xf numFmtId="0" fontId="107" fillId="0" borderId="24" xfId="0" applyFont="1" applyBorder="1" applyAlignment="1">
      <alignment vertical="center"/>
    </xf>
    <xf numFmtId="6" fontId="20" fillId="0" borderId="71" xfId="0" applyNumberFormat="1" applyFont="1" applyBorder="1" applyAlignment="1">
      <alignment horizontal="center" vertical="center"/>
    </xf>
    <xf numFmtId="14" fontId="67" fillId="0" borderId="61" xfId="0" applyNumberFormat="1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7" fillId="0" borderId="31" xfId="0" applyFont="1" applyBorder="1" applyAlignment="1">
      <alignment vertical="center"/>
    </xf>
    <xf numFmtId="14" fontId="67" fillId="0" borderId="6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1" xfId="0" applyBorder="1" applyAlignment="1">
      <alignment vertical="center"/>
    </xf>
    <xf numFmtId="0" fontId="27" fillId="0" borderId="56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6" fontId="20" fillId="0" borderId="20" xfId="0" applyNumberFormat="1" applyFont="1" applyBorder="1" applyAlignment="1">
      <alignment horizontal="center" vertical="center"/>
    </xf>
    <xf numFmtId="0" fontId="109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91" fillId="0" borderId="59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 wrapText="1"/>
    </xf>
    <xf numFmtId="16" fontId="27" fillId="0" borderId="52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90" fillId="0" borderId="59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90" fillId="0" borderId="53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90" fillId="0" borderId="58" xfId="0" applyFont="1" applyBorder="1" applyAlignment="1">
      <alignment horizontal="center" vertical="center"/>
    </xf>
    <xf numFmtId="0" fontId="72" fillId="0" borderId="73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 wrapText="1"/>
    </xf>
    <xf numFmtId="0" fontId="103" fillId="0" borderId="37" xfId="0" applyFont="1" applyBorder="1" applyAlignment="1">
      <alignment vertical="center"/>
    </xf>
    <xf numFmtId="0" fontId="103" fillId="0" borderId="24" xfId="0" applyFont="1" applyBorder="1" applyAlignment="1">
      <alignment vertical="center"/>
    </xf>
    <xf numFmtId="0" fontId="70" fillId="0" borderId="39" xfId="0" applyFont="1" applyBorder="1" applyAlignment="1">
      <alignment horizontal="center" vertical="center"/>
    </xf>
    <xf numFmtId="0" fontId="70" fillId="0" borderId="51" xfId="0" applyFont="1" applyBorder="1" applyAlignment="1">
      <alignment horizontal="center" vertical="center" wrapText="1"/>
    </xf>
    <xf numFmtId="16" fontId="27" fillId="0" borderId="21" xfId="0" applyNumberFormat="1" applyFont="1" applyBorder="1" applyAlignment="1">
      <alignment horizontal="center" vertical="center"/>
    </xf>
    <xf numFmtId="16" fontId="27" fillId="0" borderId="3" xfId="0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03" fillId="0" borderId="31" xfId="0" applyFont="1" applyBorder="1" applyAlignment="1">
      <alignment vertical="center"/>
    </xf>
    <xf numFmtId="0" fontId="59" fillId="0" borderId="6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9" fillId="0" borderId="58" xfId="0" applyFont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103" fillId="0" borderId="68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94" fillId="0" borderId="13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3" fillId="2" borderId="51" xfId="0" quotePrefix="1" applyFont="1" applyFill="1" applyBorder="1" applyAlignment="1">
      <alignment horizontal="center" vertical="center"/>
    </xf>
    <xf numFmtId="0" fontId="91" fillId="0" borderId="46" xfId="0" applyFont="1" applyBorder="1" applyAlignment="1">
      <alignment horizontal="center" vertical="center"/>
    </xf>
    <xf numFmtId="0" fontId="66" fillId="0" borderId="48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109" fillId="0" borderId="59" xfId="0" applyFont="1" applyBorder="1" applyAlignment="1">
      <alignment horizontal="center" vertical="center"/>
    </xf>
    <xf numFmtId="0" fontId="52" fillId="0" borderId="14" xfId="0" quotePrefix="1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/>
    </xf>
    <xf numFmtId="0" fontId="94" fillId="0" borderId="66" xfId="0" applyFont="1" applyBorder="1" applyAlignment="1">
      <alignment horizontal="center" vertical="center"/>
    </xf>
    <xf numFmtId="6" fontId="52" fillId="0" borderId="52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114" fillId="5" borderId="14" xfId="0" applyFont="1" applyFill="1" applyBorder="1" applyAlignment="1">
      <alignment horizontal="center" vertical="center"/>
    </xf>
    <xf numFmtId="0" fontId="114" fillId="5" borderId="16" xfId="0" applyFont="1" applyFill="1" applyBorder="1" applyAlignment="1">
      <alignment horizontal="center" vertical="center"/>
    </xf>
    <xf numFmtId="0" fontId="11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center" vertical="center"/>
    </xf>
    <xf numFmtId="0" fontId="116" fillId="0" borderId="13" xfId="0" applyFont="1" applyBorder="1" applyAlignment="1">
      <alignment horizontal="center" vertical="center"/>
    </xf>
    <xf numFmtId="0" fontId="117" fillId="0" borderId="0" xfId="0" applyFont="1" applyAlignment="1">
      <alignment horizontal="left" vertical="center"/>
    </xf>
    <xf numFmtId="0" fontId="110" fillId="0" borderId="70" xfId="0" applyFont="1" applyBorder="1" applyAlignment="1">
      <alignment horizontal="center" vertical="center"/>
    </xf>
    <xf numFmtId="0" fontId="101" fillId="0" borderId="13" xfId="0" applyFont="1" applyBorder="1" applyAlignment="1">
      <alignment horizontal="center" vertical="center"/>
    </xf>
    <xf numFmtId="0" fontId="110" fillId="0" borderId="56" xfId="0" applyFont="1" applyBorder="1" applyAlignment="1">
      <alignment horizontal="center" vertical="center"/>
    </xf>
    <xf numFmtId="0" fontId="110" fillId="0" borderId="17" xfId="0" applyFont="1" applyBorder="1" applyAlignment="1">
      <alignment horizontal="center" vertical="center"/>
    </xf>
    <xf numFmtId="0" fontId="109" fillId="0" borderId="30" xfId="0" applyFont="1" applyBorder="1" applyAlignment="1">
      <alignment horizontal="center" vertical="center"/>
    </xf>
    <xf numFmtId="0" fontId="109" fillId="0" borderId="38" xfId="0" applyFont="1" applyBorder="1" applyAlignment="1">
      <alignment horizontal="center" vertical="center"/>
    </xf>
    <xf numFmtId="0" fontId="109" fillId="0" borderId="23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48" fillId="0" borderId="7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09" fillId="0" borderId="54" xfId="0" applyFont="1" applyBorder="1" applyAlignment="1">
      <alignment horizontal="center" vertical="center"/>
    </xf>
    <xf numFmtId="0" fontId="20" fillId="0" borderId="54" xfId="0" quotePrefix="1" applyFont="1" applyBorder="1" applyAlignment="1">
      <alignment horizontal="center" vertical="center"/>
    </xf>
    <xf numFmtId="0" fontId="110" fillId="0" borderId="40" xfId="0" applyFont="1" applyBorder="1" applyAlignment="1">
      <alignment horizontal="center" vertical="center"/>
    </xf>
    <xf numFmtId="6" fontId="20" fillId="0" borderId="33" xfId="0" applyNumberFormat="1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72" fillId="0" borderId="59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14" fontId="18" fillId="0" borderId="78" xfId="0" applyNumberFormat="1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2" fillId="0" borderId="13" xfId="0" quotePrefix="1" applyFont="1" applyBorder="1" applyAlignment="1">
      <alignment horizontal="center" vertical="center"/>
    </xf>
    <xf numFmtId="0" fontId="60" fillId="0" borderId="46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47" fillId="0" borderId="27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52" fillId="0" borderId="66" xfId="0" applyFont="1" applyBorder="1" applyAlignment="1">
      <alignment horizontal="center" vertical="center"/>
    </xf>
    <xf numFmtId="0" fontId="58" fillId="0" borderId="42" xfId="0" applyFont="1" applyBorder="1" applyAlignment="1">
      <alignment horizontal="center" vertical="center"/>
    </xf>
    <xf numFmtId="0" fontId="100" fillId="0" borderId="66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4" fillId="0" borderId="71" xfId="0" applyFont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100" fillId="0" borderId="41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100" fillId="0" borderId="45" xfId="0" applyFont="1" applyBorder="1" applyAlignment="1">
      <alignment horizontal="center" vertical="center"/>
    </xf>
    <xf numFmtId="0" fontId="59" fillId="0" borderId="45" xfId="0" applyFont="1" applyBorder="1" applyAlignment="1">
      <alignment horizontal="center" vertical="center"/>
    </xf>
    <xf numFmtId="14" fontId="18" fillId="0" borderId="56" xfId="0" applyNumberFormat="1" applyFont="1" applyBorder="1" applyAlignment="1">
      <alignment horizontal="center" vertical="center"/>
    </xf>
    <xf numFmtId="0" fontId="20" fillId="0" borderId="59" xfId="0" quotePrefix="1" applyFont="1" applyBorder="1" applyAlignment="1">
      <alignment horizontal="center" vertical="center"/>
    </xf>
    <xf numFmtId="0" fontId="113" fillId="0" borderId="74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16" fontId="27" fillId="0" borderId="55" xfId="0" applyNumberFormat="1" applyFont="1" applyBorder="1" applyAlignment="1">
      <alignment horizontal="center" vertical="center"/>
    </xf>
    <xf numFmtId="6" fontId="20" fillId="0" borderId="70" xfId="0" applyNumberFormat="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99" fillId="2" borderId="42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horizontal="center" vertical="center" wrapText="1"/>
    </xf>
    <xf numFmtId="0" fontId="101" fillId="2" borderId="16" xfId="0" applyFont="1" applyFill="1" applyBorder="1" applyAlignment="1">
      <alignment horizontal="center" vertical="center"/>
    </xf>
    <xf numFmtId="0" fontId="91" fillId="0" borderId="71" xfId="0" applyFont="1" applyBorder="1" applyAlignment="1">
      <alignment horizontal="center" vertical="center"/>
    </xf>
    <xf numFmtId="14" fontId="67" fillId="0" borderId="12" xfId="0" applyNumberFormat="1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14" fontId="67" fillId="0" borderId="62" xfId="0" applyNumberFormat="1" applyFont="1" applyBorder="1" applyAlignment="1">
      <alignment horizontal="center" vertical="center"/>
    </xf>
    <xf numFmtId="0" fontId="107" fillId="0" borderId="79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6" fontId="27" fillId="0" borderId="58" xfId="0" applyNumberFormat="1" applyFont="1" applyBorder="1" applyAlignment="1">
      <alignment horizontal="center" vertical="center"/>
    </xf>
    <xf numFmtId="6" fontId="52" fillId="0" borderId="55" xfId="0" applyNumberFormat="1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99" fillId="0" borderId="35" xfId="0" applyFont="1" applyBorder="1" applyAlignment="1">
      <alignment horizontal="center" vertical="center"/>
    </xf>
    <xf numFmtId="0" fontId="99" fillId="0" borderId="76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9" fillId="0" borderId="53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14" fontId="18" fillId="0" borderId="62" xfId="0" applyNumberFormat="1" applyFont="1" applyBorder="1" applyAlignment="1">
      <alignment horizontal="center" vertical="center"/>
    </xf>
    <xf numFmtId="14" fontId="18" fillId="0" borderId="61" xfId="0" applyNumberFormat="1" applyFont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47" fillId="0" borderId="53" xfId="0" applyNumberFormat="1" applyFont="1" applyBorder="1" applyAlignment="1">
      <alignment horizontal="center" vertical="center"/>
    </xf>
    <xf numFmtId="0" fontId="99" fillId="0" borderId="51" xfId="0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59" fillId="0" borderId="62" xfId="0" applyFont="1" applyBorder="1" applyAlignment="1">
      <alignment horizontal="center" vertical="center"/>
    </xf>
    <xf numFmtId="0" fontId="103" fillId="0" borderId="7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07" fillId="0" borderId="75" xfId="0" applyFont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14" fontId="67" fillId="0" borderId="78" xfId="0" applyNumberFormat="1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58" fillId="0" borderId="67" xfId="0" applyFont="1" applyBorder="1" applyAlignment="1">
      <alignment horizontal="center" vertical="center"/>
    </xf>
    <xf numFmtId="0" fontId="103" fillId="0" borderId="19" xfId="0" applyFont="1" applyBorder="1" applyAlignment="1">
      <alignment horizontal="center" vertical="center"/>
    </xf>
    <xf numFmtId="14" fontId="27" fillId="0" borderId="73" xfId="0" applyNumberFormat="1" applyFont="1" applyBorder="1" applyAlignment="1">
      <alignment horizontal="center" vertical="center"/>
    </xf>
    <xf numFmtId="0" fontId="105" fillId="0" borderId="24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105" fillId="0" borderId="80" xfId="0" applyFont="1" applyBorder="1" applyAlignment="1">
      <alignment vertical="center"/>
    </xf>
    <xf numFmtId="0" fontId="90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center" vertical="center"/>
    </xf>
    <xf numFmtId="0" fontId="105" fillId="0" borderId="82" xfId="0" applyFont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0" fontId="103" fillId="0" borderId="82" xfId="0" applyFont="1" applyBorder="1" applyAlignment="1">
      <alignment horizontal="center" vertical="center"/>
    </xf>
    <xf numFmtId="0" fontId="48" fillId="0" borderId="68" xfId="0" applyFont="1" applyBorder="1" applyAlignment="1">
      <alignment horizontal="center" vertical="center"/>
    </xf>
    <xf numFmtId="0" fontId="49" fillId="0" borderId="79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  <xf numFmtId="0" fontId="74" fillId="0" borderId="3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60" fillId="0" borderId="40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99" fillId="0" borderId="20" xfId="0" applyFont="1" applyBorder="1" applyAlignment="1">
      <alignment horizontal="center" vertical="center"/>
    </xf>
    <xf numFmtId="0" fontId="99" fillId="0" borderId="22" xfId="0" applyFont="1" applyBorder="1" applyAlignment="1">
      <alignment horizontal="center" vertical="center"/>
    </xf>
    <xf numFmtId="0" fontId="53" fillId="0" borderId="42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93" fillId="5" borderId="14" xfId="0" applyFont="1" applyFill="1" applyBorder="1" applyAlignment="1">
      <alignment horizontal="center" vertical="center"/>
    </xf>
    <xf numFmtId="0" fontId="93" fillId="5" borderId="16" xfId="0" applyFont="1" applyFill="1" applyBorder="1" applyAlignment="1">
      <alignment horizontal="center" vertical="center"/>
    </xf>
    <xf numFmtId="0" fontId="51" fillId="4" borderId="14" xfId="0" applyFont="1" applyFill="1" applyBorder="1" applyAlignment="1">
      <alignment horizontal="center" vertical="center"/>
    </xf>
    <xf numFmtId="0" fontId="51" fillId="4" borderId="15" xfId="0" applyFont="1" applyFill="1" applyBorder="1" applyAlignment="1">
      <alignment horizontal="center" vertical="center"/>
    </xf>
    <xf numFmtId="0" fontId="51" fillId="4" borderId="16" xfId="0" applyFont="1" applyFill="1" applyBorder="1" applyAlignment="1">
      <alignment horizontal="center" vertical="center"/>
    </xf>
    <xf numFmtId="0" fontId="54" fillId="2" borderId="14" xfId="0" applyFont="1" applyFill="1" applyBorder="1" applyAlignment="1">
      <alignment horizontal="center" vertical="center"/>
    </xf>
    <xf numFmtId="0" fontId="54" fillId="2" borderId="16" xfId="0" applyFont="1" applyFill="1" applyBorder="1" applyAlignment="1">
      <alignment horizontal="center" vertical="center"/>
    </xf>
    <xf numFmtId="0" fontId="100" fillId="2" borderId="14" xfId="0" applyFont="1" applyFill="1" applyBorder="1" applyAlignment="1">
      <alignment horizontal="center" vertical="center"/>
    </xf>
    <xf numFmtId="0" fontId="100" fillId="2" borderId="16" xfId="0" applyFont="1" applyFill="1" applyBorder="1" applyAlignment="1">
      <alignment horizontal="center" vertical="center"/>
    </xf>
    <xf numFmtId="0" fontId="99" fillId="0" borderId="36" xfId="0" applyFont="1" applyBorder="1" applyAlignment="1">
      <alignment horizontal="center" vertical="center"/>
    </xf>
    <xf numFmtId="0" fontId="99" fillId="0" borderId="37" xfId="0" applyFont="1" applyBorder="1" applyAlignment="1">
      <alignment horizontal="center" vertical="center"/>
    </xf>
    <xf numFmtId="0" fontId="99" fillId="2" borderId="51" xfId="0" applyFont="1" applyFill="1" applyBorder="1" applyAlignment="1">
      <alignment horizontal="center" vertical="center" wrapText="1"/>
    </xf>
    <xf numFmtId="0" fontId="99" fillId="2" borderId="66" xfId="0" applyFont="1" applyFill="1" applyBorder="1" applyAlignment="1">
      <alignment horizontal="center" vertical="center" wrapText="1"/>
    </xf>
    <xf numFmtId="0" fontId="99" fillId="0" borderId="42" xfId="0" applyFont="1" applyBorder="1" applyAlignment="1">
      <alignment horizontal="center" vertical="center"/>
    </xf>
    <xf numFmtId="0" fontId="99" fillId="0" borderId="44" xfId="0" applyFont="1" applyBorder="1" applyAlignment="1">
      <alignment horizontal="center" vertical="center"/>
    </xf>
    <xf numFmtId="0" fontId="99" fillId="2" borderId="39" xfId="0" applyFont="1" applyFill="1" applyBorder="1" applyAlignment="1">
      <alignment horizontal="center" vertical="center" wrapText="1"/>
    </xf>
    <xf numFmtId="0" fontId="99" fillId="2" borderId="41" xfId="0" applyFont="1" applyFill="1" applyBorder="1" applyAlignment="1">
      <alignment horizontal="center" vertical="center" wrapText="1"/>
    </xf>
    <xf numFmtId="0" fontId="99" fillId="2" borderId="42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horizontal="center" vertical="center" wrapText="1"/>
    </xf>
    <xf numFmtId="0" fontId="98" fillId="2" borderId="51" xfId="0" applyFont="1" applyFill="1" applyBorder="1" applyAlignment="1">
      <alignment horizontal="center" vertical="center" wrapText="1"/>
    </xf>
    <xf numFmtId="0" fontId="98" fillId="2" borderId="54" xfId="0" applyFont="1" applyFill="1" applyBorder="1" applyAlignment="1">
      <alignment horizontal="center" vertical="center" wrapText="1"/>
    </xf>
    <xf numFmtId="0" fontId="99" fillId="0" borderId="51" xfId="0" applyFont="1" applyBorder="1" applyAlignment="1">
      <alignment horizontal="center" vertical="center" wrapText="1"/>
    </xf>
    <xf numFmtId="0" fontId="99" fillId="0" borderId="66" xfId="0" applyFont="1" applyBorder="1" applyAlignment="1">
      <alignment horizontal="center" vertical="center" wrapText="1"/>
    </xf>
    <xf numFmtId="0" fontId="99" fillId="0" borderId="23" xfId="0" applyFont="1" applyBorder="1" applyAlignment="1">
      <alignment horizontal="center" vertical="center"/>
    </xf>
    <xf numFmtId="0" fontId="99" fillId="0" borderId="24" xfId="0" applyFont="1" applyBorder="1" applyAlignment="1">
      <alignment horizontal="center" vertical="center"/>
    </xf>
    <xf numFmtId="0" fontId="99" fillId="0" borderId="30" xfId="0" applyFont="1" applyBorder="1" applyAlignment="1">
      <alignment horizontal="center" vertical="center"/>
    </xf>
    <xf numFmtId="0" fontId="99" fillId="0" borderId="31" xfId="0" applyFont="1" applyBorder="1" applyAlignment="1">
      <alignment horizontal="center" vertical="center"/>
    </xf>
    <xf numFmtId="0" fontId="50" fillId="4" borderId="14" xfId="0" applyFont="1" applyFill="1" applyBorder="1" applyAlignment="1">
      <alignment horizontal="center" vertical="center"/>
    </xf>
    <xf numFmtId="0" fontId="50" fillId="4" borderId="15" xfId="0" applyFont="1" applyFill="1" applyBorder="1" applyAlignment="1">
      <alignment horizontal="center" vertical="center"/>
    </xf>
    <xf numFmtId="0" fontId="50" fillId="4" borderId="16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99" fillId="0" borderId="39" xfId="0" applyFont="1" applyBorder="1" applyAlignment="1">
      <alignment horizontal="center" vertical="center"/>
    </xf>
    <xf numFmtId="0" fontId="99" fillId="0" borderId="41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68" fillId="0" borderId="41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51" fillId="4" borderId="39" xfId="0" applyFont="1" applyFill="1" applyBorder="1" applyAlignment="1">
      <alignment horizontal="center" vertical="center"/>
    </xf>
    <xf numFmtId="0" fontId="51" fillId="4" borderId="40" xfId="0" applyFont="1" applyFill="1" applyBorder="1" applyAlignment="1">
      <alignment horizontal="center" vertical="center"/>
    </xf>
    <xf numFmtId="0" fontId="51" fillId="4" borderId="41" xfId="0" applyFont="1" applyFill="1" applyBorder="1" applyAlignment="1">
      <alignment horizontal="center" vertical="center"/>
    </xf>
    <xf numFmtId="0" fontId="93" fillId="5" borderId="39" xfId="0" applyFont="1" applyFill="1" applyBorder="1" applyAlignment="1">
      <alignment horizontal="center" vertical="center"/>
    </xf>
    <xf numFmtId="0" fontId="93" fillId="5" borderId="41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center" vertical="center"/>
    </xf>
    <xf numFmtId="0" fontId="84" fillId="2" borderId="15" xfId="0" applyFont="1" applyFill="1" applyBorder="1" applyAlignment="1">
      <alignment horizontal="center" vertical="center"/>
    </xf>
    <xf numFmtId="0" fontId="84" fillId="2" borderId="16" xfId="0" applyFont="1" applyFill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42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4" fillId="2" borderId="15" xfId="0" applyFont="1" applyFill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99" fillId="0" borderId="35" xfId="0" applyFont="1" applyBorder="1" applyAlignment="1">
      <alignment horizontal="center" vertical="center"/>
    </xf>
    <xf numFmtId="0" fontId="99" fillId="0" borderId="7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95" fillId="5" borderId="14" xfId="0" applyFont="1" applyFill="1" applyBorder="1" applyAlignment="1">
      <alignment horizontal="center" vertical="center"/>
    </xf>
    <xf numFmtId="0" fontId="95" fillId="5" borderId="15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82" fillId="5" borderId="15" xfId="0" applyFont="1" applyFill="1" applyBorder="1" applyAlignment="1">
      <alignment horizontal="center" vertical="center"/>
    </xf>
    <xf numFmtId="0" fontId="82" fillId="5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85" fillId="4" borderId="42" xfId="0" applyFont="1" applyFill="1" applyBorder="1" applyAlignment="1">
      <alignment horizontal="center" vertical="center"/>
    </xf>
    <xf numFmtId="0" fontId="85" fillId="4" borderId="43" xfId="0" applyFont="1" applyFill="1" applyBorder="1" applyAlignment="1">
      <alignment horizontal="center" vertical="center"/>
    </xf>
    <xf numFmtId="0" fontId="85" fillId="4" borderId="15" xfId="0" applyFont="1" applyFill="1" applyBorder="1" applyAlignment="1">
      <alignment horizontal="center" vertical="center"/>
    </xf>
    <xf numFmtId="0" fontId="85" fillId="4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/>
    </xf>
    <xf numFmtId="0" fontId="82" fillId="0" borderId="15" xfId="0" applyFont="1" applyBorder="1" applyAlignment="1">
      <alignment horizontal="center" vertical="center"/>
    </xf>
    <xf numFmtId="0" fontId="82" fillId="0" borderId="16" xfId="0" applyFont="1" applyBorder="1" applyAlignment="1">
      <alignment horizontal="center" vertical="center"/>
    </xf>
    <xf numFmtId="0" fontId="86" fillId="2" borderId="14" xfId="0" applyFont="1" applyFill="1" applyBorder="1" applyAlignment="1">
      <alignment horizontal="center" vertical="center"/>
    </xf>
    <xf numFmtId="0" fontId="86" fillId="2" borderId="15" xfId="0" applyFont="1" applyFill="1" applyBorder="1" applyAlignment="1">
      <alignment horizontal="center" vertical="center"/>
    </xf>
    <xf numFmtId="0" fontId="86" fillId="2" borderId="16" xfId="0" applyFont="1" applyFill="1" applyBorder="1" applyAlignment="1">
      <alignment horizontal="center" vertical="center"/>
    </xf>
    <xf numFmtId="0" fontId="85" fillId="4" borderId="33" xfId="0" applyFont="1" applyFill="1" applyBorder="1" applyAlignment="1">
      <alignment horizontal="center" vertical="center"/>
    </xf>
    <xf numFmtId="0" fontId="85" fillId="4" borderId="0" xfId="0" applyFont="1" applyFill="1" applyAlignment="1">
      <alignment horizontal="center" vertical="center"/>
    </xf>
    <xf numFmtId="0" fontId="85" fillId="4" borderId="34" xfId="0" applyFont="1" applyFill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2" fillId="5" borderId="40" xfId="0" applyFont="1" applyFill="1" applyBorder="1" applyAlignment="1">
      <alignment horizontal="center" vertical="center"/>
    </xf>
    <xf numFmtId="0" fontId="102" fillId="5" borderId="14" xfId="0" applyFont="1" applyFill="1" applyBorder="1" applyAlignment="1">
      <alignment horizontal="center" vertical="center"/>
    </xf>
    <xf numFmtId="0" fontId="102" fillId="5" borderId="15" xfId="0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34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64" fillId="5" borderId="14" xfId="0" applyFont="1" applyFill="1" applyBorder="1" applyAlignment="1">
      <alignment horizontal="center" vertical="center"/>
    </xf>
    <xf numFmtId="0" fontId="64" fillId="5" borderId="15" xfId="0" applyFont="1" applyFill="1" applyBorder="1" applyAlignment="1">
      <alignment horizontal="center" vertical="center"/>
    </xf>
    <xf numFmtId="0" fontId="64" fillId="5" borderId="16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68" fillId="0" borderId="33" xfId="0" applyFont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0" fontId="79" fillId="0" borderId="14" xfId="0" applyFont="1" applyBorder="1" applyAlignment="1">
      <alignment horizontal="center" vertical="center"/>
    </xf>
    <xf numFmtId="0" fontId="79" fillId="0" borderId="15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71" fillId="0" borderId="61" xfId="0" applyFont="1" applyBorder="1" applyAlignment="1">
      <alignment horizontal="center" vertical="center"/>
    </xf>
    <xf numFmtId="0" fontId="71" fillId="0" borderId="3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 vertical="center"/>
    </xf>
    <xf numFmtId="0" fontId="71" fillId="0" borderId="77" xfId="0" applyFont="1" applyBorder="1" applyAlignment="1">
      <alignment horizontal="center" vertical="center"/>
    </xf>
    <xf numFmtId="0" fontId="82" fillId="5" borderId="14" xfId="0" applyFont="1" applyFill="1" applyBorder="1" applyAlignment="1">
      <alignment horizontal="center" vertical="center"/>
    </xf>
    <xf numFmtId="0" fontId="83" fillId="3" borderId="14" xfId="0" applyFont="1" applyFill="1" applyBorder="1" applyAlignment="1">
      <alignment horizontal="center" vertical="center"/>
    </xf>
    <xf numFmtId="0" fontId="83" fillId="3" borderId="15" xfId="0" applyFont="1" applyFill="1" applyBorder="1" applyAlignment="1">
      <alignment horizontal="center" vertical="center"/>
    </xf>
    <xf numFmtId="0" fontId="83" fillId="3" borderId="16" xfId="0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64" fillId="4" borderId="14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95" fillId="5" borderId="16" xfId="0" applyFont="1" applyFill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99" fillId="0" borderId="62" xfId="0" quotePrefix="1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99" fillId="0" borderId="75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99" fillId="0" borderId="14" xfId="0" applyFont="1" applyBorder="1" applyAlignment="1">
      <alignment horizontal="center" vertical="center"/>
    </xf>
    <xf numFmtId="0" fontId="99" fillId="0" borderId="15" xfId="0" applyFont="1" applyBorder="1" applyAlignment="1">
      <alignment horizontal="center" vertical="center"/>
    </xf>
    <xf numFmtId="0" fontId="99" fillId="0" borderId="16" xfId="0" applyFont="1" applyBorder="1" applyAlignment="1">
      <alignment horizontal="center" vertical="center"/>
    </xf>
    <xf numFmtId="0" fontId="99" fillId="0" borderId="70" xfId="0" applyFont="1" applyBorder="1" applyAlignment="1">
      <alignment horizontal="center" vertical="center"/>
    </xf>
    <xf numFmtId="0" fontId="99" fillId="0" borderId="73" xfId="0" applyFont="1" applyBorder="1" applyAlignment="1">
      <alignment horizontal="center" vertical="center"/>
    </xf>
    <xf numFmtId="0" fontId="99" fillId="0" borderId="69" xfId="0" applyFont="1" applyBorder="1" applyAlignment="1">
      <alignment horizontal="center" vertical="center"/>
    </xf>
    <xf numFmtId="0" fontId="101" fillId="2" borderId="14" xfId="0" applyFont="1" applyFill="1" applyBorder="1" applyAlignment="1">
      <alignment horizontal="center" vertical="center"/>
    </xf>
    <xf numFmtId="0" fontId="101" fillId="2" borderId="15" xfId="0" applyFont="1" applyFill="1" applyBorder="1" applyAlignment="1">
      <alignment horizontal="center" vertical="center"/>
    </xf>
    <xf numFmtId="0" fontId="101" fillId="2" borderId="16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01" fillId="2" borderId="39" xfId="0" applyFont="1" applyFill="1" applyBorder="1" applyAlignment="1">
      <alignment horizontal="center" vertical="center"/>
    </xf>
    <xf numFmtId="0" fontId="101" fillId="2" borderId="40" xfId="0" applyFont="1" applyFill="1" applyBorder="1" applyAlignment="1">
      <alignment horizontal="center" vertical="center"/>
    </xf>
    <xf numFmtId="0" fontId="101" fillId="2" borderId="4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73" fillId="0" borderId="39" xfId="0" applyFont="1" applyBorder="1" applyAlignment="1">
      <alignment horizontal="center" vertical="center"/>
    </xf>
    <xf numFmtId="0" fontId="73" fillId="0" borderId="41" xfId="0" applyFont="1" applyBorder="1" applyAlignment="1">
      <alignment horizontal="center" vertical="center"/>
    </xf>
    <xf numFmtId="0" fontId="73" fillId="0" borderId="42" xfId="0" applyFont="1" applyBorder="1" applyAlignment="1">
      <alignment horizontal="center" vertical="center"/>
    </xf>
    <xf numFmtId="0" fontId="73" fillId="0" borderId="44" xfId="0" applyFont="1" applyBorder="1" applyAlignment="1">
      <alignment horizontal="center" vertical="center"/>
    </xf>
    <xf numFmtId="0" fontId="99" fillId="2" borderId="33" xfId="0" applyFont="1" applyFill="1" applyBorder="1" applyAlignment="1">
      <alignment horizontal="center" vertical="center" wrapText="1"/>
    </xf>
    <xf numFmtId="0" fontId="99" fillId="2" borderId="34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68" fillId="0" borderId="1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99" fillId="0" borderId="63" xfId="0" applyFont="1" applyBorder="1" applyAlignment="1">
      <alignment horizontal="center" vertical="center"/>
    </xf>
    <xf numFmtId="0" fontId="99" fillId="0" borderId="10" xfId="0" applyFont="1" applyBorder="1" applyAlignment="1">
      <alignment horizontal="center" vertical="center"/>
    </xf>
    <xf numFmtId="0" fontId="99" fillId="2" borderId="40" xfId="0" applyFont="1" applyFill="1" applyBorder="1" applyAlignment="1">
      <alignment horizontal="center" vertical="center" wrapText="1"/>
    </xf>
    <xf numFmtId="0" fontId="99" fillId="2" borderId="0" xfId="0" applyFont="1" applyFill="1" applyAlignment="1">
      <alignment horizontal="center" vertical="center" wrapText="1"/>
    </xf>
    <xf numFmtId="0" fontId="99" fillId="2" borderId="43" xfId="0" applyFont="1" applyFill="1" applyBorder="1" applyAlignment="1">
      <alignment horizontal="center" vertical="center" wrapText="1"/>
    </xf>
    <xf numFmtId="0" fontId="78" fillId="0" borderId="42" xfId="0" applyFont="1" applyBorder="1" applyAlignment="1">
      <alignment horizontal="center" vertical="center"/>
    </xf>
    <xf numFmtId="0" fontId="78" fillId="0" borderId="43" xfId="0" applyFont="1" applyBorder="1" applyAlignment="1">
      <alignment horizontal="center" vertical="center"/>
    </xf>
    <xf numFmtId="0" fontId="78" fillId="0" borderId="44" xfId="0" applyFont="1" applyBorder="1" applyAlignment="1">
      <alignment horizontal="center" vertical="center"/>
    </xf>
    <xf numFmtId="0" fontId="99" fillId="0" borderId="43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99" fillId="0" borderId="74" xfId="0" applyFont="1" applyBorder="1" applyAlignment="1">
      <alignment horizontal="center" vertical="center"/>
    </xf>
    <xf numFmtId="0" fontId="99" fillId="0" borderId="78" xfId="0" applyFont="1" applyBorder="1" applyAlignment="1">
      <alignment horizontal="center" vertical="center"/>
    </xf>
    <xf numFmtId="0" fontId="99" fillId="0" borderId="68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8" fillId="0" borderId="40" xfId="0" applyFont="1" applyBorder="1" applyAlignment="1">
      <alignment horizontal="center" vertical="center"/>
    </xf>
    <xf numFmtId="0" fontId="68" fillId="0" borderId="43" xfId="0" applyFont="1" applyBorder="1" applyAlignment="1">
      <alignment horizontal="center" vertical="center"/>
    </xf>
    <xf numFmtId="0" fontId="99" fillId="0" borderId="61" xfId="0" applyFont="1" applyBorder="1" applyAlignment="1">
      <alignment horizontal="center" vertical="center"/>
    </xf>
    <xf numFmtId="0" fontId="99" fillId="0" borderId="6" xfId="0" applyFont="1" applyBorder="1" applyAlignment="1">
      <alignment horizontal="center" vertical="center"/>
    </xf>
    <xf numFmtId="0" fontId="99" fillId="0" borderId="67" xfId="0" applyFont="1" applyBorder="1" applyAlignment="1">
      <alignment horizontal="center" vertical="center"/>
    </xf>
    <xf numFmtId="0" fontId="99" fillId="0" borderId="18" xfId="0" applyFont="1" applyBorder="1" applyAlignment="1">
      <alignment horizontal="center" vertical="center"/>
    </xf>
    <xf numFmtId="0" fontId="99" fillId="0" borderId="19" xfId="0" applyFont="1" applyBorder="1" applyAlignment="1">
      <alignment horizontal="center" vertical="center"/>
    </xf>
    <xf numFmtId="0" fontId="99" fillId="0" borderId="40" xfId="0" applyFont="1" applyBorder="1" applyAlignment="1">
      <alignment horizontal="center" vertical="center"/>
    </xf>
    <xf numFmtId="0" fontId="99" fillId="0" borderId="62" xfId="0" applyFont="1" applyBorder="1" applyAlignment="1">
      <alignment horizontal="center" vertical="center"/>
    </xf>
    <xf numFmtId="0" fontId="96" fillId="2" borderId="39" xfId="0" applyFont="1" applyFill="1" applyBorder="1" applyAlignment="1">
      <alignment horizontal="center" vertical="center"/>
    </xf>
    <xf numFmtId="0" fontId="96" fillId="2" borderId="41" xfId="0" applyFont="1" applyFill="1" applyBorder="1" applyAlignment="1">
      <alignment horizontal="center" vertical="center"/>
    </xf>
    <xf numFmtId="0" fontId="98" fillId="0" borderId="40" xfId="0" applyFont="1" applyBorder="1" applyAlignment="1">
      <alignment horizontal="center" vertical="center"/>
    </xf>
    <xf numFmtId="0" fontId="98" fillId="0" borderId="41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34" xfId="0" applyFont="1" applyBorder="1" applyAlignment="1">
      <alignment horizontal="center" vertical="center"/>
    </xf>
    <xf numFmtId="0" fontId="98" fillId="0" borderId="43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/>
    </xf>
    <xf numFmtId="0" fontId="109" fillId="0" borderId="20" xfId="0" applyFont="1" applyBorder="1" applyAlignment="1">
      <alignment horizontal="center" vertical="center"/>
    </xf>
    <xf numFmtId="0" fontId="7" fillId="0" borderId="55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17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7"/>
  <sheetViews>
    <sheetView zoomScale="102" zoomScaleNormal="102" workbookViewId="0">
      <selection activeCell="V2" sqref="V2"/>
    </sheetView>
  </sheetViews>
  <sheetFormatPr defaultColWidth="8.88671875" defaultRowHeight="18" x14ac:dyDescent="0.3"/>
  <cols>
    <col min="1" max="1" width="6.6640625" style="689" customWidth="1"/>
    <col min="2" max="2" width="4.6640625" style="206" customWidth="1"/>
    <col min="3" max="3" width="25.88671875" style="206" customWidth="1"/>
    <col min="4" max="4" width="9" style="197" customWidth="1"/>
    <col min="5" max="5" width="8.88671875" style="206" customWidth="1"/>
    <col min="6" max="6" width="6.44140625" style="197" customWidth="1"/>
    <col min="7" max="7" width="6.33203125" style="197" customWidth="1"/>
    <col min="8" max="8" width="6.44140625" style="197" customWidth="1"/>
    <col min="9" max="10" width="6.33203125" style="197" customWidth="1"/>
    <col min="11" max="12" width="6.44140625" style="197" customWidth="1"/>
    <col min="13" max="13" width="7.109375" style="197" customWidth="1"/>
    <col min="14" max="14" width="9" style="198" customWidth="1"/>
    <col min="15" max="15" width="11.109375" style="199" customWidth="1"/>
    <col min="16" max="16" width="1.33203125" style="197" customWidth="1"/>
    <col min="17" max="18" width="10.109375" style="197" customWidth="1"/>
    <col min="19" max="19" width="2.33203125" style="197" customWidth="1"/>
    <col min="20" max="20" width="22.33203125" style="581" customWidth="1"/>
    <col min="21" max="21" width="2.44140625" style="197" customWidth="1"/>
    <col min="22" max="16384" width="8.88671875" style="197"/>
  </cols>
  <sheetData>
    <row r="1" spans="1:22" ht="18.600000000000001" thickBot="1" x14ac:dyDescent="0.35"/>
    <row r="2" spans="1:22" s="198" customFormat="1" ht="32.4" customHeight="1" thickBot="1" x14ac:dyDescent="0.35">
      <c r="A2" s="689" t="s">
        <v>10</v>
      </c>
      <c r="B2" s="206" t="s">
        <v>10</v>
      </c>
      <c r="C2" s="1142" t="s">
        <v>107</v>
      </c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4"/>
      <c r="T2" s="582"/>
    </row>
    <row r="3" spans="1:22" ht="9" customHeight="1" thickBot="1" x14ac:dyDescent="0.35"/>
    <row r="4" spans="1:22" ht="30.9" customHeight="1" thickBot="1" x14ac:dyDescent="0.35">
      <c r="C4" s="1164" t="s">
        <v>228</v>
      </c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  <c r="O4" s="1165"/>
      <c r="P4" s="1165"/>
      <c r="Q4" s="1165"/>
      <c r="R4" s="1166"/>
      <c r="T4" s="1134" t="s">
        <v>183</v>
      </c>
      <c r="V4" s="197" t="s">
        <v>335</v>
      </c>
    </row>
    <row r="5" spans="1:22" ht="14.1" customHeight="1" thickBot="1" x14ac:dyDescent="0.35">
      <c r="T5" s="1135"/>
    </row>
    <row r="6" spans="1:22" ht="22.5" customHeight="1" thickBot="1" x14ac:dyDescent="0.35">
      <c r="B6" s="206" t="s">
        <v>10</v>
      </c>
      <c r="C6" s="1117" t="s">
        <v>19</v>
      </c>
      <c r="D6" s="1118"/>
      <c r="E6" s="1118"/>
      <c r="F6" s="1118"/>
      <c r="G6" s="1118"/>
      <c r="H6" s="1118"/>
      <c r="I6" s="1118"/>
      <c r="J6" s="1118"/>
      <c r="K6" s="1118"/>
      <c r="L6" s="1115" t="s">
        <v>182</v>
      </c>
      <c r="M6" s="1116"/>
      <c r="N6" s="580">
        <v>30</v>
      </c>
      <c r="O6" s="1115" t="s">
        <v>189</v>
      </c>
      <c r="P6" s="1116"/>
      <c r="Q6" s="587">
        <v>300</v>
      </c>
      <c r="T6" s="1135"/>
    </row>
    <row r="7" spans="1:22" s="206" customFormat="1" ht="30" customHeight="1" thickBot="1" x14ac:dyDescent="0.35">
      <c r="A7" s="689"/>
      <c r="B7" s="823" t="s">
        <v>154</v>
      </c>
      <c r="C7" s="200" t="s">
        <v>0</v>
      </c>
      <c r="D7" s="824" t="s">
        <v>1</v>
      </c>
      <c r="E7" s="200" t="s">
        <v>109</v>
      </c>
      <c r="F7" s="201" t="s">
        <v>48</v>
      </c>
      <c r="G7" s="202">
        <v>10</v>
      </c>
      <c r="H7" s="202">
        <v>9</v>
      </c>
      <c r="I7" s="202">
        <v>8</v>
      </c>
      <c r="J7" s="202">
        <v>7</v>
      </c>
      <c r="K7" s="202">
        <v>6</v>
      </c>
      <c r="L7" s="203">
        <v>5</v>
      </c>
      <c r="M7" s="204">
        <v>0</v>
      </c>
      <c r="N7" s="828" t="s">
        <v>9</v>
      </c>
      <c r="O7" s="831" t="s">
        <v>184</v>
      </c>
      <c r="Q7" s="426" t="s">
        <v>59</v>
      </c>
      <c r="R7" s="319" t="s">
        <v>60</v>
      </c>
      <c r="T7" s="1135"/>
    </row>
    <row r="8" spans="1:22" ht="17.100000000000001" hidden="1" customHeight="1" thickBot="1" x14ac:dyDescent="0.35">
      <c r="A8" s="689" t="s">
        <v>336</v>
      </c>
      <c r="B8" s="691"/>
      <c r="C8" s="330" t="s">
        <v>143</v>
      </c>
      <c r="D8" s="295">
        <v>1786</v>
      </c>
      <c r="E8" s="330" t="s">
        <v>18</v>
      </c>
      <c r="F8" s="222"/>
      <c r="G8" s="223"/>
      <c r="H8" s="223"/>
      <c r="I8" s="223"/>
      <c r="J8" s="223"/>
      <c r="K8" s="223"/>
      <c r="L8" s="221"/>
      <c r="M8" s="211"/>
      <c r="N8" s="828">
        <f>SUM($F8:$L8)</f>
        <v>0</v>
      </c>
      <c r="O8" s="334">
        <f>(F8/10)+(G8/10)+(H8/9)+(I8/8)+(J8/7)+(K8/6)+(L8/5)+M8</f>
        <v>0</v>
      </c>
      <c r="Q8" s="1167"/>
      <c r="R8" s="1168"/>
      <c r="T8" s="583" t="str">
        <f>IF(O8=0,"",IF(O8=30,"","Shot count Error"))</f>
        <v/>
      </c>
    </row>
    <row r="9" spans="1:22" ht="17.100000000000001" hidden="1" customHeight="1" thickBot="1" x14ac:dyDescent="0.35">
      <c r="A9" s="689" t="s">
        <v>207</v>
      </c>
      <c r="B9" s="328"/>
      <c r="C9" s="331" t="s">
        <v>197</v>
      </c>
      <c r="D9" s="301">
        <v>786</v>
      </c>
      <c r="E9" s="331" t="s">
        <v>18</v>
      </c>
      <c r="F9" s="222"/>
      <c r="G9" s="223"/>
      <c r="H9" s="223"/>
      <c r="I9" s="223"/>
      <c r="J9" s="223"/>
      <c r="K9" s="223"/>
      <c r="L9" s="221"/>
      <c r="M9" s="211"/>
      <c r="N9" s="729">
        <f>SUM($F9:$L9)</f>
        <v>0</v>
      </c>
      <c r="O9" s="265">
        <f>(F9/10)+(G9/10)+(H9/9)+(I9/8)+(J9/7)+(K9/6)+(L9/5)+M9</f>
        <v>0</v>
      </c>
      <c r="Q9" s="1169"/>
      <c r="R9" s="1170"/>
      <c r="T9" s="583"/>
    </row>
    <row r="10" spans="1:22" ht="17.100000000000001" hidden="1" customHeight="1" thickBot="1" x14ac:dyDescent="0.35">
      <c r="A10" s="689" t="s">
        <v>207</v>
      </c>
      <c r="B10" s="328"/>
      <c r="C10" s="331" t="s">
        <v>198</v>
      </c>
      <c r="D10" s="301">
        <v>3624</v>
      </c>
      <c r="E10" s="332" t="s">
        <v>18</v>
      </c>
      <c r="F10" s="222"/>
      <c r="G10" s="223"/>
      <c r="H10" s="223"/>
      <c r="I10" s="223"/>
      <c r="J10" s="223"/>
      <c r="K10" s="223"/>
      <c r="L10" s="221"/>
      <c r="M10" s="211"/>
      <c r="N10" s="729">
        <f>SUM($F10:$L10)</f>
        <v>0</v>
      </c>
      <c r="O10" s="265">
        <f>(F10/10)+(G10/10)+(H10/9)+(I10/8)+(J10/7)+(K10/6)+(L10/5)+M10</f>
        <v>0</v>
      </c>
      <c r="Q10" s="1169"/>
      <c r="R10" s="1170"/>
      <c r="T10" s="583" t="str">
        <f t="shared" ref="T10:T92" si="0">IF(O10=0,"",IF(O10=30,"","Shot count Error"))</f>
        <v/>
      </c>
    </row>
    <row r="11" spans="1:22" ht="17.100000000000001" hidden="1" customHeight="1" thickBot="1" x14ac:dyDescent="0.35">
      <c r="A11" s="689" t="s">
        <v>207</v>
      </c>
      <c r="B11" s="333"/>
      <c r="C11" s="324"/>
      <c r="D11" s="240"/>
      <c r="E11" s="324" t="s">
        <v>14</v>
      </c>
      <c r="F11" s="222"/>
      <c r="G11" s="223"/>
      <c r="H11" s="223"/>
      <c r="I11" s="223"/>
      <c r="J11" s="223"/>
      <c r="K11" s="223"/>
      <c r="L11" s="221"/>
      <c r="M11" s="211"/>
      <c r="N11" s="730">
        <f>SUM($F11:$L11)</f>
        <v>0</v>
      </c>
      <c r="O11" s="265">
        <f>(F11/10)+(G11/10)+(H11/9)+(I11/8)+(J11/7)+(K11/6)+(L11/5)+M11</f>
        <v>0</v>
      </c>
      <c r="P11" s="233"/>
      <c r="Q11" s="247" t="str">
        <f>IF(N11&gt;296,"Yes","NO")</f>
        <v>NO</v>
      </c>
      <c r="R11" s="604" t="str">
        <f>IF(Q11="yes","HM","")</f>
        <v/>
      </c>
      <c r="T11" s="583" t="str">
        <f t="shared" si="0"/>
        <v/>
      </c>
    </row>
    <row r="12" spans="1:22" ht="17.100000000000001" hidden="1" customHeight="1" thickBot="1" x14ac:dyDescent="0.35">
      <c r="A12" s="689" t="s">
        <v>207</v>
      </c>
      <c r="B12" s="692"/>
      <c r="C12" s="332" t="s">
        <v>206</v>
      </c>
      <c r="D12" s="295">
        <v>1041</v>
      </c>
      <c r="E12" s="332" t="s">
        <v>15</v>
      </c>
      <c r="F12" s="222"/>
      <c r="G12" s="223"/>
      <c r="H12" s="223"/>
      <c r="I12" s="223"/>
      <c r="J12" s="223"/>
      <c r="K12" s="223"/>
      <c r="L12" s="221"/>
      <c r="M12" s="211"/>
      <c r="N12" s="728">
        <f t="shared" ref="N12:N16" si="1">SUM($F12:$L12)</f>
        <v>0</v>
      </c>
      <c r="O12" s="334">
        <f t="shared" ref="O12" si="2">(F12/10)+(G12/10)+(H12/9)+(I12/8)+(J12/7)+(K12/6)+(L12/5)+M12</f>
        <v>0</v>
      </c>
      <c r="Q12" s="280" t="str">
        <f t="shared" ref="Q12:Q13" si="3">IF(N12&gt;293,"Yes","NO")</f>
        <v>NO</v>
      </c>
      <c r="R12" s="606" t="str">
        <f t="shared" ref="R12:R16" si="4">IF(Q12="yes","M","")</f>
        <v/>
      </c>
      <c r="T12" s="583" t="str">
        <f t="shared" si="0"/>
        <v/>
      </c>
    </row>
    <row r="13" spans="1:22" ht="17.100000000000001" hidden="1" customHeight="1" thickBot="1" x14ac:dyDescent="0.35">
      <c r="A13" s="689" t="s">
        <v>207</v>
      </c>
      <c r="B13" s="328"/>
      <c r="C13" s="331" t="s">
        <v>199</v>
      </c>
      <c r="D13" s="301">
        <v>506</v>
      </c>
      <c r="E13" s="331" t="s">
        <v>15</v>
      </c>
      <c r="F13" s="222"/>
      <c r="G13" s="223"/>
      <c r="H13" s="223"/>
      <c r="I13" s="223"/>
      <c r="J13" s="223"/>
      <c r="K13" s="223"/>
      <c r="L13" s="221"/>
      <c r="M13" s="211"/>
      <c r="N13" s="729">
        <f t="shared" si="1"/>
        <v>0</v>
      </c>
      <c r="O13" s="265">
        <f t="shared" ref="O13" si="5">(F13/10)+(G13/10)+(H13/9)+(I13/8)+(J13/7)+(K13/6)+(L13/5)+M13</f>
        <v>0</v>
      </c>
      <c r="P13" s="233"/>
      <c r="Q13" s="390" t="str">
        <f t="shared" si="3"/>
        <v>NO</v>
      </c>
      <c r="R13" s="605" t="str">
        <f t="shared" si="4"/>
        <v/>
      </c>
      <c r="T13" s="583" t="str">
        <f t="shared" si="0"/>
        <v/>
      </c>
    </row>
    <row r="14" spans="1:22" ht="17.100000000000001" hidden="1" customHeight="1" thickBot="1" x14ac:dyDescent="0.35">
      <c r="A14" s="689" t="s">
        <v>207</v>
      </c>
      <c r="B14" s="328"/>
      <c r="C14" s="329" t="s">
        <v>168</v>
      </c>
      <c r="D14" s="233">
        <v>1475</v>
      </c>
      <c r="E14" s="331" t="s">
        <v>15</v>
      </c>
      <c r="F14" s="222"/>
      <c r="G14" s="223"/>
      <c r="H14" s="223"/>
      <c r="I14" s="223"/>
      <c r="J14" s="223"/>
      <c r="K14" s="223"/>
      <c r="L14" s="221"/>
      <c r="M14" s="211"/>
      <c r="N14" s="729">
        <f t="shared" si="1"/>
        <v>0</v>
      </c>
      <c r="O14" s="265">
        <f t="shared" ref="O14:O16" si="6">(F14/10)+(G14/10)+(H14/9)+(I14/8)+(J14/7)+(K14/6)+(L14/5)+M14</f>
        <v>0</v>
      </c>
      <c r="P14" s="233"/>
      <c r="Q14" s="390" t="str">
        <f t="shared" ref="Q14:Q16" si="7">IF(N14&gt;293,"Yes","NO")</f>
        <v>NO</v>
      </c>
      <c r="R14" s="605" t="str">
        <f t="shared" si="4"/>
        <v/>
      </c>
      <c r="T14" s="583" t="str">
        <f t="shared" si="0"/>
        <v/>
      </c>
    </row>
    <row r="15" spans="1:22" ht="17.100000000000001" hidden="1" customHeight="1" thickBot="1" x14ac:dyDescent="0.35">
      <c r="A15" s="689" t="s">
        <v>207</v>
      </c>
      <c r="B15" s="328"/>
      <c r="C15" s="329" t="s">
        <v>144</v>
      </c>
      <c r="D15" s="233">
        <v>709</v>
      </c>
      <c r="E15" s="331" t="s">
        <v>15</v>
      </c>
      <c r="F15" s="222"/>
      <c r="G15" s="223"/>
      <c r="H15" s="223"/>
      <c r="I15" s="223"/>
      <c r="J15" s="223"/>
      <c r="K15" s="223"/>
      <c r="L15" s="221"/>
      <c r="M15" s="211"/>
      <c r="N15" s="729">
        <f t="shared" si="1"/>
        <v>0</v>
      </c>
      <c r="O15" s="265">
        <f t="shared" si="6"/>
        <v>0</v>
      </c>
      <c r="P15" s="233"/>
      <c r="Q15" s="390" t="str">
        <f t="shared" si="7"/>
        <v>NO</v>
      </c>
      <c r="R15" s="605" t="str">
        <f t="shared" si="4"/>
        <v/>
      </c>
      <c r="T15" s="583" t="str">
        <f t="shared" si="0"/>
        <v/>
      </c>
    </row>
    <row r="16" spans="1:22" ht="17.100000000000001" hidden="1" customHeight="1" thickBot="1" x14ac:dyDescent="0.35">
      <c r="A16" s="689" t="s">
        <v>207</v>
      </c>
      <c r="B16" s="544"/>
      <c r="C16" s="329" t="s">
        <v>138</v>
      </c>
      <c r="D16" s="233">
        <v>2138</v>
      </c>
      <c r="E16" s="329" t="s">
        <v>15</v>
      </c>
      <c r="F16" s="222"/>
      <c r="G16" s="223"/>
      <c r="H16" s="223"/>
      <c r="I16" s="223"/>
      <c r="J16" s="223"/>
      <c r="K16" s="223"/>
      <c r="L16" s="221"/>
      <c r="M16" s="211"/>
      <c r="N16" s="829">
        <f t="shared" si="1"/>
        <v>0</v>
      </c>
      <c r="O16" s="265">
        <f t="shared" si="6"/>
        <v>0</v>
      </c>
      <c r="P16" s="233"/>
      <c r="Q16" s="390" t="str">
        <f t="shared" si="7"/>
        <v>NO</v>
      </c>
      <c r="R16" s="605" t="str">
        <f t="shared" si="4"/>
        <v/>
      </c>
      <c r="T16" s="583" t="str">
        <f t="shared" si="0"/>
        <v/>
      </c>
    </row>
    <row r="17" spans="1:22" ht="17.100000000000001" customHeight="1" thickBot="1" x14ac:dyDescent="0.35">
      <c r="A17" s="689" t="s">
        <v>207</v>
      </c>
      <c r="B17" s="323"/>
      <c r="C17" s="394" t="s">
        <v>372</v>
      </c>
      <c r="D17" s="225">
        <v>169</v>
      </c>
      <c r="E17" s="323" t="s">
        <v>15</v>
      </c>
      <c r="F17" s="262">
        <v>80</v>
      </c>
      <c r="G17" s="210">
        <v>130</v>
      </c>
      <c r="H17" s="210">
        <v>72</v>
      </c>
      <c r="I17" s="210">
        <v>8</v>
      </c>
      <c r="J17" s="210"/>
      <c r="K17" s="210"/>
      <c r="L17" s="210"/>
      <c r="M17" s="825"/>
      <c r="N17" s="833">
        <f t="shared" ref="N17:N23" si="8">SUM($F17:$L17)</f>
        <v>290</v>
      </c>
      <c r="O17" s="260">
        <f t="shared" ref="O17:O23" si="9">(F17/10)+(G17/10)+(H17/9)+(I17/8)+(J17/7)+(K17/6)+(L17/5)+M17</f>
        <v>30</v>
      </c>
      <c r="P17" s="295"/>
      <c r="Q17" s="280" t="str">
        <f t="shared" ref="Q17:Q23" si="10">IF(N17&gt;293,"Yes","NO")</f>
        <v>NO</v>
      </c>
      <c r="R17" s="606" t="str">
        <f t="shared" ref="R17:R23" si="11">IF(Q17="yes","M","")</f>
        <v/>
      </c>
      <c r="T17" s="583" t="str">
        <f t="shared" si="0"/>
        <v/>
      </c>
    </row>
    <row r="18" spans="1:22" ht="17.100000000000001" customHeight="1" thickBot="1" x14ac:dyDescent="0.35">
      <c r="A18" s="689" t="s">
        <v>207</v>
      </c>
      <c r="B18" s="331" t="s">
        <v>353</v>
      </c>
      <c r="C18" s="546" t="s">
        <v>206</v>
      </c>
      <c r="D18" s="254">
        <v>1041</v>
      </c>
      <c r="E18" s="331" t="s">
        <v>15</v>
      </c>
      <c r="F18" s="277">
        <v>40</v>
      </c>
      <c r="G18" s="249">
        <v>160</v>
      </c>
      <c r="H18" s="249">
        <v>81</v>
      </c>
      <c r="I18" s="249">
        <v>8</v>
      </c>
      <c r="J18" s="249"/>
      <c r="K18" s="249"/>
      <c r="L18" s="249"/>
      <c r="M18" s="826"/>
      <c r="N18" s="729">
        <f t="shared" si="8"/>
        <v>289</v>
      </c>
      <c r="O18" s="300">
        <f t="shared" si="9"/>
        <v>30</v>
      </c>
      <c r="P18" s="233"/>
      <c r="Q18" s="390" t="str">
        <f t="shared" si="10"/>
        <v>NO</v>
      </c>
      <c r="R18" s="605" t="str">
        <f t="shared" si="11"/>
        <v/>
      </c>
      <c r="T18" s="583" t="str">
        <f t="shared" si="0"/>
        <v/>
      </c>
      <c r="V18" s="985"/>
    </row>
    <row r="19" spans="1:22" ht="17.100000000000001" customHeight="1" thickBot="1" x14ac:dyDescent="0.35">
      <c r="A19" s="689" t="s">
        <v>207</v>
      </c>
      <c r="B19" s="331"/>
      <c r="C19" s="546" t="s">
        <v>115</v>
      </c>
      <c r="D19" s="254">
        <v>1383</v>
      </c>
      <c r="E19" s="331" t="s">
        <v>15</v>
      </c>
      <c r="F19" s="277">
        <v>20</v>
      </c>
      <c r="G19" s="249">
        <v>70</v>
      </c>
      <c r="H19" s="249">
        <v>162</v>
      </c>
      <c r="I19" s="249">
        <v>24</v>
      </c>
      <c r="J19" s="249"/>
      <c r="K19" s="249"/>
      <c r="L19" s="249"/>
      <c r="M19" s="826"/>
      <c r="N19" s="729">
        <f t="shared" si="8"/>
        <v>276</v>
      </c>
      <c r="O19" s="300">
        <f t="shared" si="9"/>
        <v>30</v>
      </c>
      <c r="P19" s="233"/>
      <c r="Q19" s="390" t="str">
        <f t="shared" si="10"/>
        <v>NO</v>
      </c>
      <c r="R19" s="605" t="str">
        <f t="shared" si="11"/>
        <v/>
      </c>
      <c r="T19" s="583" t="str">
        <f t="shared" ref="T19:T20" si="12">IF(O19=0,"",IF(O19=30,"","Shot count Error"))</f>
        <v/>
      </c>
    </row>
    <row r="20" spans="1:22" ht="17.100000000000001" customHeight="1" thickBot="1" x14ac:dyDescent="0.35">
      <c r="B20" s="329" t="s">
        <v>253</v>
      </c>
      <c r="C20" s="396" t="s">
        <v>333</v>
      </c>
      <c r="D20" s="232">
        <v>2466</v>
      </c>
      <c r="E20" s="329" t="s">
        <v>15</v>
      </c>
      <c r="F20" s="264">
        <v>20</v>
      </c>
      <c r="G20" s="217">
        <v>70</v>
      </c>
      <c r="H20" s="217">
        <v>135</v>
      </c>
      <c r="I20" s="217">
        <v>16</v>
      </c>
      <c r="J20" s="217">
        <v>28</v>
      </c>
      <c r="K20" s="217"/>
      <c r="L20" s="217"/>
      <c r="M20" s="994"/>
      <c r="N20" s="829">
        <f t="shared" si="8"/>
        <v>269</v>
      </c>
      <c r="O20" s="265">
        <f t="shared" si="9"/>
        <v>30</v>
      </c>
      <c r="P20" s="233"/>
      <c r="Q20" s="390" t="str">
        <f t="shared" si="10"/>
        <v>NO</v>
      </c>
      <c r="R20" s="605" t="str">
        <f t="shared" si="11"/>
        <v/>
      </c>
      <c r="T20" s="583" t="str">
        <f t="shared" si="12"/>
        <v/>
      </c>
    </row>
    <row r="21" spans="1:22" ht="17.100000000000001" customHeight="1" thickBot="1" x14ac:dyDescent="0.35">
      <c r="B21" s="329" t="s">
        <v>259</v>
      </c>
      <c r="C21" s="396" t="s">
        <v>135</v>
      </c>
      <c r="D21" s="232">
        <v>357</v>
      </c>
      <c r="E21" s="329" t="s">
        <v>15</v>
      </c>
      <c r="F21" s="264">
        <v>10</v>
      </c>
      <c r="G21" s="217">
        <v>80</v>
      </c>
      <c r="H21" s="217">
        <v>63</v>
      </c>
      <c r="I21" s="217">
        <v>48</v>
      </c>
      <c r="J21" s="217">
        <v>35</v>
      </c>
      <c r="K21" s="217">
        <v>12</v>
      </c>
      <c r="L21" s="217"/>
      <c r="M21" s="994">
        <v>1</v>
      </c>
      <c r="N21" s="829">
        <f t="shared" si="8"/>
        <v>248</v>
      </c>
      <c r="O21" s="265">
        <f t="shared" si="9"/>
        <v>30</v>
      </c>
      <c r="P21" s="233"/>
      <c r="Q21" s="390" t="str">
        <f t="shared" si="10"/>
        <v>NO</v>
      </c>
      <c r="R21" s="605" t="str">
        <f t="shared" si="11"/>
        <v/>
      </c>
      <c r="T21" s="583"/>
    </row>
    <row r="22" spans="1:22" ht="17.100000000000001" customHeight="1" thickBot="1" x14ac:dyDescent="0.35">
      <c r="B22" s="329"/>
      <c r="C22" s="396" t="s">
        <v>112</v>
      </c>
      <c r="D22" s="232">
        <v>2101</v>
      </c>
      <c r="E22" s="329" t="s">
        <v>15</v>
      </c>
      <c r="F22" s="264">
        <v>10</v>
      </c>
      <c r="G22" s="217">
        <v>60</v>
      </c>
      <c r="H22" s="217">
        <v>117</v>
      </c>
      <c r="I22" s="217">
        <v>24</v>
      </c>
      <c r="J22" s="217">
        <v>21</v>
      </c>
      <c r="K22" s="217">
        <v>6</v>
      </c>
      <c r="L22" s="217"/>
      <c r="M22" s="994">
        <v>3</v>
      </c>
      <c r="N22" s="829">
        <f t="shared" si="8"/>
        <v>238</v>
      </c>
      <c r="O22" s="265">
        <f t="shared" si="9"/>
        <v>30</v>
      </c>
      <c r="P22" s="233"/>
      <c r="Q22" s="390" t="str">
        <f t="shared" si="10"/>
        <v>NO</v>
      </c>
      <c r="R22" s="605" t="str">
        <f t="shared" si="11"/>
        <v/>
      </c>
      <c r="T22" s="583"/>
    </row>
    <row r="23" spans="1:22" ht="17.100000000000001" customHeight="1" thickBot="1" x14ac:dyDescent="0.35">
      <c r="A23" s="689" t="s">
        <v>207</v>
      </c>
      <c r="B23" s="324" t="s">
        <v>160</v>
      </c>
      <c r="C23" s="398" t="s">
        <v>205</v>
      </c>
      <c r="D23" s="241">
        <v>1350</v>
      </c>
      <c r="E23" s="324" t="s">
        <v>15</v>
      </c>
      <c r="F23" s="274"/>
      <c r="G23" s="236"/>
      <c r="H23" s="236"/>
      <c r="I23" s="236"/>
      <c r="J23" s="236"/>
      <c r="K23" s="236"/>
      <c r="L23" s="236"/>
      <c r="M23" s="827"/>
      <c r="N23" s="730">
        <f t="shared" si="8"/>
        <v>0</v>
      </c>
      <c r="O23" s="220">
        <f t="shared" si="9"/>
        <v>0</v>
      </c>
      <c r="P23" s="240"/>
      <c r="Q23" s="234" t="str">
        <f t="shared" si="10"/>
        <v>NO</v>
      </c>
      <c r="R23" s="607" t="str">
        <f t="shared" si="11"/>
        <v/>
      </c>
      <c r="T23" s="583" t="str">
        <f t="shared" si="0"/>
        <v/>
      </c>
    </row>
    <row r="24" spans="1:22" ht="17.100000000000001" customHeight="1" thickBot="1" x14ac:dyDescent="0.35">
      <c r="A24" s="689" t="s">
        <v>207</v>
      </c>
      <c r="B24" s="323" t="s">
        <v>300</v>
      </c>
      <c r="C24" s="394" t="s">
        <v>110</v>
      </c>
      <c r="D24" s="225">
        <v>1465</v>
      </c>
      <c r="E24" s="323" t="s">
        <v>16</v>
      </c>
      <c r="F24" s="262">
        <v>90</v>
      </c>
      <c r="G24" s="210">
        <v>110</v>
      </c>
      <c r="H24" s="210">
        <v>72</v>
      </c>
      <c r="I24" s="210">
        <v>16</v>
      </c>
      <c r="J24" s="210"/>
      <c r="K24" s="210"/>
      <c r="L24" s="210"/>
      <c r="M24" s="825"/>
      <c r="N24" s="833">
        <f t="shared" ref="N24:N29" si="13">SUM($F24:$L24)</f>
        <v>288</v>
      </c>
      <c r="O24" s="260">
        <f t="shared" ref="O24:O29" si="14">(F24/10)+(G24/10)+(H24/9)+(I24/8)+(J24/7)+(K24/6)+(L24/5)+M24</f>
        <v>30</v>
      </c>
      <c r="P24" s="295"/>
      <c r="Q24" s="280" t="str">
        <f t="shared" ref="Q24:Q29" si="15">IF(N24&gt;289,"Yes","NO")</f>
        <v>NO</v>
      </c>
      <c r="R24" s="606" t="str">
        <f t="shared" ref="R24:R29" si="16">IF(Q24="yes","G","")</f>
        <v/>
      </c>
      <c r="T24" s="583" t="str">
        <f t="shared" si="0"/>
        <v/>
      </c>
    </row>
    <row r="25" spans="1:22" ht="17.100000000000001" customHeight="1" thickBot="1" x14ac:dyDescent="0.35">
      <c r="B25" s="329" t="s">
        <v>249</v>
      </c>
      <c r="C25" s="396" t="s">
        <v>343</v>
      </c>
      <c r="D25" s="232">
        <v>1618</v>
      </c>
      <c r="E25" s="329" t="s">
        <v>16</v>
      </c>
      <c r="F25" s="264">
        <v>30</v>
      </c>
      <c r="G25" s="217">
        <v>120</v>
      </c>
      <c r="H25" s="217">
        <v>126</v>
      </c>
      <c r="I25" s="217">
        <v>8</v>
      </c>
      <c r="J25" s="217"/>
      <c r="K25" s="217"/>
      <c r="L25" s="217"/>
      <c r="M25" s="994"/>
      <c r="N25" s="829">
        <f t="shared" si="13"/>
        <v>284</v>
      </c>
      <c r="O25" s="265">
        <f t="shared" si="14"/>
        <v>30</v>
      </c>
      <c r="Q25" s="390" t="str">
        <f t="shared" si="15"/>
        <v>NO</v>
      </c>
      <c r="R25" s="605" t="str">
        <f t="shared" si="16"/>
        <v/>
      </c>
      <c r="T25" s="583" t="str">
        <f t="shared" si="0"/>
        <v/>
      </c>
    </row>
    <row r="26" spans="1:22" ht="17.100000000000001" customHeight="1" thickBot="1" x14ac:dyDescent="0.35">
      <c r="B26" s="329"/>
      <c r="C26" s="396" t="s">
        <v>171</v>
      </c>
      <c r="D26" s="232">
        <v>1901</v>
      </c>
      <c r="E26" s="329" t="s">
        <v>16</v>
      </c>
      <c r="F26" s="264">
        <v>60</v>
      </c>
      <c r="G26" s="217">
        <v>60</v>
      </c>
      <c r="H26" s="217">
        <v>108</v>
      </c>
      <c r="I26" s="217">
        <v>32</v>
      </c>
      <c r="J26" s="217">
        <v>14</v>
      </c>
      <c r="K26" s="217"/>
      <c r="L26" s="217"/>
      <c r="M26" s="994"/>
      <c r="N26" s="829">
        <f t="shared" si="13"/>
        <v>274</v>
      </c>
      <c r="O26" s="265">
        <f t="shared" si="14"/>
        <v>30</v>
      </c>
      <c r="P26" s="233"/>
      <c r="Q26" s="390" t="str">
        <f t="shared" si="15"/>
        <v>NO</v>
      </c>
      <c r="R26" s="605" t="str">
        <f t="shared" si="16"/>
        <v/>
      </c>
      <c r="T26" s="583" t="str">
        <f t="shared" ref="T26" si="17">IF(O26=0,"",IF(O26=30,"","Shot count Error"))</f>
        <v/>
      </c>
    </row>
    <row r="27" spans="1:22" ht="17.100000000000001" customHeight="1" thickBot="1" x14ac:dyDescent="0.35">
      <c r="B27" s="329"/>
      <c r="C27" s="396" t="s">
        <v>225</v>
      </c>
      <c r="D27" s="232">
        <v>1268</v>
      </c>
      <c r="E27" s="329" t="s">
        <v>16</v>
      </c>
      <c r="F27" s="264">
        <v>10</v>
      </c>
      <c r="G27" s="217">
        <v>40</v>
      </c>
      <c r="H27" s="217">
        <v>135</v>
      </c>
      <c r="I27" s="217">
        <v>72</v>
      </c>
      <c r="J27" s="217">
        <v>7</v>
      </c>
      <c r="K27" s="217"/>
      <c r="L27" s="217"/>
      <c r="M27" s="994"/>
      <c r="N27" s="829">
        <f t="shared" si="13"/>
        <v>264</v>
      </c>
      <c r="O27" s="265">
        <f t="shared" si="14"/>
        <v>30</v>
      </c>
      <c r="P27" s="233"/>
      <c r="Q27" s="390" t="str">
        <f t="shared" si="15"/>
        <v>NO</v>
      </c>
      <c r="R27" s="605" t="str">
        <f t="shared" si="16"/>
        <v/>
      </c>
      <c r="T27" s="583"/>
    </row>
    <row r="28" spans="1:22" ht="17.100000000000001" customHeight="1" thickBot="1" x14ac:dyDescent="0.35">
      <c r="B28" s="329"/>
      <c r="C28" s="396" t="s">
        <v>373</v>
      </c>
      <c r="D28" s="232">
        <v>1256</v>
      </c>
      <c r="E28" s="329" t="s">
        <v>16</v>
      </c>
      <c r="F28" s="264">
        <v>0</v>
      </c>
      <c r="G28" s="217">
        <v>50</v>
      </c>
      <c r="H28" s="217">
        <v>126</v>
      </c>
      <c r="I28" s="217">
        <v>64</v>
      </c>
      <c r="J28" s="217">
        <v>21</v>
      </c>
      <c r="K28" s="217"/>
      <c r="L28" s="217"/>
      <c r="M28" s="994"/>
      <c r="N28" s="829">
        <f t="shared" si="13"/>
        <v>261</v>
      </c>
      <c r="O28" s="265">
        <f t="shared" si="14"/>
        <v>30</v>
      </c>
      <c r="P28" s="233"/>
      <c r="Q28" s="390" t="str">
        <f t="shared" si="15"/>
        <v>NO</v>
      </c>
      <c r="R28" s="605" t="str">
        <f t="shared" si="16"/>
        <v/>
      </c>
      <c r="T28" s="583" t="str">
        <f t="shared" si="0"/>
        <v/>
      </c>
    </row>
    <row r="29" spans="1:22" ht="17.100000000000001" customHeight="1" thickBot="1" x14ac:dyDescent="0.35">
      <c r="A29" s="689" t="s">
        <v>207</v>
      </c>
      <c r="B29" s="324" t="s">
        <v>34</v>
      </c>
      <c r="C29" s="398" t="s">
        <v>241</v>
      </c>
      <c r="D29" s="241">
        <v>1661</v>
      </c>
      <c r="E29" s="324" t="s">
        <v>16</v>
      </c>
      <c r="F29" s="274">
        <v>30</v>
      </c>
      <c r="G29" s="236">
        <v>20</v>
      </c>
      <c r="H29" s="236">
        <v>99</v>
      </c>
      <c r="I29" s="236">
        <v>56</v>
      </c>
      <c r="J29" s="236">
        <v>21</v>
      </c>
      <c r="K29" s="236"/>
      <c r="L29" s="236"/>
      <c r="M29" s="827">
        <v>4</v>
      </c>
      <c r="N29" s="730">
        <f t="shared" si="13"/>
        <v>226</v>
      </c>
      <c r="O29" s="220">
        <f t="shared" si="14"/>
        <v>30</v>
      </c>
      <c r="P29" s="240"/>
      <c r="Q29" s="234" t="str">
        <f t="shared" si="15"/>
        <v>NO</v>
      </c>
      <c r="R29" s="607" t="str">
        <f t="shared" si="16"/>
        <v/>
      </c>
      <c r="T29" s="583" t="str">
        <f t="shared" ref="T29" si="18">IF(O29=0,"",IF(O29=30,"","Shot count Error"))</f>
        <v/>
      </c>
    </row>
    <row r="30" spans="1:22" ht="17.100000000000001" hidden="1" customHeight="1" thickBot="1" x14ac:dyDescent="0.35">
      <c r="A30" s="689" t="s">
        <v>207</v>
      </c>
      <c r="B30" s="325"/>
      <c r="C30" s="693" t="s">
        <v>137</v>
      </c>
      <c r="D30" s="534">
        <v>1809</v>
      </c>
      <c r="E30" s="325" t="s">
        <v>16</v>
      </c>
      <c r="F30" s="292"/>
      <c r="G30" s="243"/>
      <c r="H30" s="243"/>
      <c r="I30" s="243"/>
      <c r="J30" s="243"/>
      <c r="K30" s="243"/>
      <c r="L30" s="243"/>
      <c r="M30" s="834"/>
      <c r="N30" s="728">
        <f t="shared" ref="N30:N56" si="19">SUM($F30:$L30)</f>
        <v>0</v>
      </c>
      <c r="O30" s="272">
        <f t="shared" ref="O30:O56" si="20">(F30/10)+(G30/10)+(H30/9)+(I30/8)+(J30/7)+(K30/6)+(L30/5)+M30</f>
        <v>0</v>
      </c>
      <c r="Q30" s="251" t="str">
        <f t="shared" ref="Q30:Q36" si="21">IF(N30&gt;289,"Yes","NO")</f>
        <v>NO</v>
      </c>
      <c r="R30" s="609" t="str">
        <f t="shared" ref="R30:R36" si="22">IF(Q30="yes","G","")</f>
        <v/>
      </c>
      <c r="T30" s="583" t="str">
        <f t="shared" si="0"/>
        <v/>
      </c>
    </row>
    <row r="31" spans="1:22" ht="17.100000000000001" hidden="1" customHeight="1" thickBot="1" x14ac:dyDescent="0.35">
      <c r="A31" s="689" t="s">
        <v>207</v>
      </c>
      <c r="B31" s="331"/>
      <c r="C31" s="653" t="s">
        <v>225</v>
      </c>
      <c r="D31" s="301">
        <v>1268</v>
      </c>
      <c r="E31" s="331" t="s">
        <v>16</v>
      </c>
      <c r="F31" s="277"/>
      <c r="G31" s="249"/>
      <c r="H31" s="249"/>
      <c r="I31" s="249"/>
      <c r="J31" s="249"/>
      <c r="K31" s="249"/>
      <c r="L31" s="249"/>
      <c r="M31" s="826"/>
      <c r="N31" s="729">
        <f t="shared" si="19"/>
        <v>0</v>
      </c>
      <c r="O31" s="300">
        <f t="shared" si="20"/>
        <v>0</v>
      </c>
      <c r="P31" s="233"/>
      <c r="Q31" s="390" t="str">
        <f t="shared" si="21"/>
        <v>NO</v>
      </c>
      <c r="R31" s="605" t="str">
        <f t="shared" si="22"/>
        <v/>
      </c>
      <c r="T31" s="583" t="str">
        <f t="shared" si="0"/>
        <v/>
      </c>
    </row>
    <row r="32" spans="1:22" ht="17.100000000000001" hidden="1" customHeight="1" thickBot="1" x14ac:dyDescent="0.35">
      <c r="A32" s="689" t="s">
        <v>207</v>
      </c>
      <c r="B32" s="331"/>
      <c r="C32" s="653" t="s">
        <v>177</v>
      </c>
      <c r="D32" s="301">
        <v>1412</v>
      </c>
      <c r="E32" s="331" t="s">
        <v>16</v>
      </c>
      <c r="F32" s="277"/>
      <c r="G32" s="249"/>
      <c r="H32" s="249"/>
      <c r="I32" s="249"/>
      <c r="J32" s="249"/>
      <c r="K32" s="249"/>
      <c r="L32" s="249"/>
      <c r="M32" s="826"/>
      <c r="N32" s="729">
        <f t="shared" si="19"/>
        <v>0</v>
      </c>
      <c r="O32" s="300">
        <f t="shared" si="20"/>
        <v>0</v>
      </c>
      <c r="P32" s="233"/>
      <c r="Q32" s="390" t="str">
        <f t="shared" ref="Q32" si="23">IF(N32&gt;289,"Yes","NO")</f>
        <v>NO</v>
      </c>
      <c r="R32" s="605" t="str">
        <f t="shared" ref="R32" si="24">IF(Q32="yes","G","")</f>
        <v/>
      </c>
      <c r="T32" s="583" t="str">
        <f t="shared" si="0"/>
        <v/>
      </c>
    </row>
    <row r="33" spans="1:22" ht="17.100000000000001" hidden="1" customHeight="1" thickBot="1" x14ac:dyDescent="0.35">
      <c r="A33" s="689" t="s">
        <v>207</v>
      </c>
      <c r="B33" s="331"/>
      <c r="C33" s="1013" t="s">
        <v>200</v>
      </c>
      <c r="D33" s="301">
        <v>1775</v>
      </c>
      <c r="E33" s="331" t="s">
        <v>16</v>
      </c>
      <c r="F33" s="277"/>
      <c r="G33" s="249"/>
      <c r="H33" s="249"/>
      <c r="I33" s="249"/>
      <c r="J33" s="249"/>
      <c r="K33" s="249"/>
      <c r="L33" s="249"/>
      <c r="M33" s="826"/>
      <c r="N33" s="729">
        <f t="shared" si="19"/>
        <v>0</v>
      </c>
      <c r="O33" s="300">
        <f t="shared" ref="O33:O34" si="25">(F33/10)+(G33/10)+(H33/9)+(I33/8)+(J33/7)+(K33/6)+(L33/5)+M33</f>
        <v>0</v>
      </c>
      <c r="P33" s="233"/>
      <c r="Q33" s="390" t="str">
        <f t="shared" ref="Q33:Q34" si="26">IF(N33&gt;289,"Yes","NO")</f>
        <v>NO</v>
      </c>
      <c r="R33" s="605" t="str">
        <f t="shared" ref="R33:R34" si="27">IF(Q33="yes","G","")</f>
        <v/>
      </c>
      <c r="T33" s="583" t="str">
        <f t="shared" si="0"/>
        <v/>
      </c>
    </row>
    <row r="34" spans="1:22" ht="17.100000000000001" hidden="1" customHeight="1" thickBot="1" x14ac:dyDescent="0.35">
      <c r="A34" s="689" t="s">
        <v>207</v>
      </c>
      <c r="B34" s="331"/>
      <c r="C34" s="653" t="s">
        <v>193</v>
      </c>
      <c r="D34" s="301">
        <v>1118</v>
      </c>
      <c r="E34" s="331" t="s">
        <v>16</v>
      </c>
      <c r="F34" s="277"/>
      <c r="G34" s="249"/>
      <c r="H34" s="249"/>
      <c r="I34" s="249"/>
      <c r="J34" s="249"/>
      <c r="K34" s="249"/>
      <c r="L34" s="249"/>
      <c r="M34" s="826"/>
      <c r="N34" s="729">
        <f t="shared" si="19"/>
        <v>0</v>
      </c>
      <c r="O34" s="300">
        <f t="shared" si="25"/>
        <v>0</v>
      </c>
      <c r="P34" s="233"/>
      <c r="Q34" s="390" t="str">
        <f t="shared" si="26"/>
        <v>NO</v>
      </c>
      <c r="R34" s="605" t="str">
        <f t="shared" si="27"/>
        <v/>
      </c>
      <c r="T34" s="583" t="str">
        <f t="shared" si="0"/>
        <v/>
      </c>
    </row>
    <row r="35" spans="1:22" ht="17.100000000000001" hidden="1" customHeight="1" thickBot="1" x14ac:dyDescent="0.35">
      <c r="A35" s="689" t="s">
        <v>207</v>
      </c>
      <c r="B35" s="331"/>
      <c r="C35" s="653" t="s">
        <v>194</v>
      </c>
      <c r="D35" s="301">
        <v>1237</v>
      </c>
      <c r="E35" s="331" t="s">
        <v>16</v>
      </c>
      <c r="F35" s="277"/>
      <c r="G35" s="249"/>
      <c r="H35" s="249"/>
      <c r="I35" s="249"/>
      <c r="J35" s="249"/>
      <c r="K35" s="249"/>
      <c r="L35" s="249"/>
      <c r="M35" s="826"/>
      <c r="N35" s="729">
        <f t="shared" si="19"/>
        <v>0</v>
      </c>
      <c r="O35" s="300">
        <f t="shared" ref="O35" si="28">(F35/10)+(G35/10)+(H35/9)+(I35/8)+(J35/7)+(K35/6)+(L35/5)+M35</f>
        <v>0</v>
      </c>
      <c r="P35" s="233"/>
      <c r="Q35" s="390" t="str">
        <f t="shared" si="21"/>
        <v>NO</v>
      </c>
      <c r="R35" s="605" t="str">
        <f t="shared" si="22"/>
        <v/>
      </c>
      <c r="T35" s="583" t="str">
        <f t="shared" si="0"/>
        <v/>
      </c>
    </row>
    <row r="36" spans="1:22" ht="17.100000000000001" hidden="1" customHeight="1" thickBot="1" x14ac:dyDescent="0.35">
      <c r="A36" s="689" t="s">
        <v>207</v>
      </c>
      <c r="B36" s="331"/>
      <c r="C36" s="1013" t="s">
        <v>129</v>
      </c>
      <c r="D36" s="301">
        <v>1149</v>
      </c>
      <c r="E36" s="331" t="s">
        <v>16</v>
      </c>
      <c r="F36" s="277"/>
      <c r="G36" s="249"/>
      <c r="H36" s="249"/>
      <c r="I36" s="249"/>
      <c r="J36" s="249"/>
      <c r="K36" s="249"/>
      <c r="L36" s="249"/>
      <c r="M36" s="826"/>
      <c r="N36" s="729">
        <f t="shared" si="19"/>
        <v>0</v>
      </c>
      <c r="O36" s="300">
        <f t="shared" si="20"/>
        <v>0</v>
      </c>
      <c r="P36" s="240"/>
      <c r="Q36" s="234" t="str">
        <f t="shared" si="21"/>
        <v>NO</v>
      </c>
      <c r="R36" s="607" t="str">
        <f t="shared" si="22"/>
        <v/>
      </c>
      <c r="T36" s="583" t="str">
        <f t="shared" si="0"/>
        <v/>
      </c>
    </row>
    <row r="37" spans="1:22" ht="17.100000000000001" customHeight="1" thickBot="1" x14ac:dyDescent="0.35">
      <c r="A37" s="689" t="s">
        <v>207</v>
      </c>
      <c r="B37" s="331"/>
      <c r="C37" s="653" t="s">
        <v>366</v>
      </c>
      <c r="D37" s="301" t="s">
        <v>10</v>
      </c>
      <c r="E37" s="331" t="s">
        <v>17</v>
      </c>
      <c r="F37" s="277">
        <v>0</v>
      </c>
      <c r="G37" s="249">
        <v>90</v>
      </c>
      <c r="H37" s="249">
        <v>108</v>
      </c>
      <c r="I37" s="249">
        <v>64</v>
      </c>
      <c r="J37" s="249">
        <v>7</v>
      </c>
      <c r="K37" s="249"/>
      <c r="L37" s="249"/>
      <c r="M37" s="826"/>
      <c r="N37" s="729">
        <f t="shared" ref="N37:N54" si="29">SUM($F37:$L37)</f>
        <v>269</v>
      </c>
      <c r="O37" s="300">
        <f t="shared" ref="O37:O54" si="30">(F37/10)+(G37/10)+(H37/9)+(I37/8)+(J37/7)+(K37/6)+(L37/5)+M37</f>
        <v>30</v>
      </c>
      <c r="Q37" s="263" t="str">
        <f t="shared" ref="Q37:Q54" si="31">IF(N37&gt;279,"Yes","NO")</f>
        <v>NO</v>
      </c>
      <c r="R37" s="603" t="str">
        <f t="shared" ref="R37:R54" si="32">IF(Q37="yes","S","")</f>
        <v/>
      </c>
      <c r="T37" s="583" t="str">
        <f t="shared" si="0"/>
        <v/>
      </c>
    </row>
    <row r="38" spans="1:22" ht="17.100000000000001" customHeight="1" thickBot="1" x14ac:dyDescent="0.35">
      <c r="B38" s="331" t="s">
        <v>312</v>
      </c>
      <c r="C38" s="653" t="s">
        <v>314</v>
      </c>
      <c r="D38" s="301">
        <v>1143</v>
      </c>
      <c r="E38" s="331" t="s">
        <v>17</v>
      </c>
      <c r="F38" s="277">
        <v>60</v>
      </c>
      <c r="G38" s="249">
        <v>70</v>
      </c>
      <c r="H38" s="249">
        <v>90</v>
      </c>
      <c r="I38" s="249">
        <v>32</v>
      </c>
      <c r="J38" s="249">
        <v>14</v>
      </c>
      <c r="K38" s="249"/>
      <c r="L38" s="249"/>
      <c r="M38" s="826">
        <v>1</v>
      </c>
      <c r="N38" s="729">
        <f t="shared" si="29"/>
        <v>266</v>
      </c>
      <c r="O38" s="300">
        <f t="shared" si="30"/>
        <v>30</v>
      </c>
      <c r="Q38" s="263" t="str">
        <f t="shared" si="31"/>
        <v>NO</v>
      </c>
      <c r="R38" s="603" t="str">
        <f t="shared" si="32"/>
        <v/>
      </c>
      <c r="T38" s="583" t="str">
        <f t="shared" ref="T38" si="33">IF(O38=0,"",IF(O38=30,"","Shot count Error"))</f>
        <v/>
      </c>
    </row>
    <row r="39" spans="1:22" ht="17.100000000000001" customHeight="1" thickBot="1" x14ac:dyDescent="0.35">
      <c r="A39" s="689" t="s">
        <v>207</v>
      </c>
      <c r="B39" s="331" t="s">
        <v>257</v>
      </c>
      <c r="C39" s="653" t="s">
        <v>219</v>
      </c>
      <c r="D39" s="301">
        <v>1982</v>
      </c>
      <c r="E39" s="331" t="s">
        <v>17</v>
      </c>
      <c r="F39" s="277">
        <v>10</v>
      </c>
      <c r="G39" s="249">
        <v>80</v>
      </c>
      <c r="H39" s="249">
        <v>135</v>
      </c>
      <c r="I39" s="249">
        <v>24</v>
      </c>
      <c r="J39" s="249">
        <v>14</v>
      </c>
      <c r="K39" s="249"/>
      <c r="L39" s="249"/>
      <c r="M39" s="826">
        <v>1</v>
      </c>
      <c r="N39" s="729">
        <f t="shared" si="29"/>
        <v>263</v>
      </c>
      <c r="O39" s="300">
        <f t="shared" si="30"/>
        <v>30</v>
      </c>
      <c r="Q39" s="263" t="str">
        <f t="shared" si="31"/>
        <v>NO</v>
      </c>
      <c r="R39" s="603" t="str">
        <f t="shared" si="32"/>
        <v/>
      </c>
      <c r="T39" s="583" t="str">
        <f t="shared" si="0"/>
        <v/>
      </c>
    </row>
    <row r="40" spans="1:22" ht="17.100000000000001" customHeight="1" thickBot="1" x14ac:dyDescent="0.35">
      <c r="A40" s="689" t="s">
        <v>207</v>
      </c>
      <c r="B40" s="331" t="s">
        <v>240</v>
      </c>
      <c r="C40" s="653" t="s">
        <v>175</v>
      </c>
      <c r="D40" s="301">
        <v>909</v>
      </c>
      <c r="E40" s="331" t="s">
        <v>17</v>
      </c>
      <c r="F40" s="277">
        <v>20</v>
      </c>
      <c r="G40" s="249">
        <v>50</v>
      </c>
      <c r="H40" s="249">
        <v>117</v>
      </c>
      <c r="I40" s="249">
        <v>40</v>
      </c>
      <c r="J40" s="249">
        <v>28</v>
      </c>
      <c r="K40" s="249"/>
      <c r="L40" s="249"/>
      <c r="M40" s="826">
        <v>1</v>
      </c>
      <c r="N40" s="729">
        <f t="shared" si="29"/>
        <v>255</v>
      </c>
      <c r="O40" s="300">
        <f t="shared" si="30"/>
        <v>30</v>
      </c>
      <c r="Q40" s="263" t="str">
        <f t="shared" si="31"/>
        <v>NO</v>
      </c>
      <c r="R40" s="603" t="str">
        <f t="shared" si="32"/>
        <v/>
      </c>
      <c r="T40" s="583" t="str">
        <f t="shared" ref="T40:T43" si="34">IF(O40=0,"",IF(O40=30,"","Shot count Error"))</f>
        <v/>
      </c>
    </row>
    <row r="41" spans="1:22" ht="17.100000000000001" customHeight="1" thickBot="1" x14ac:dyDescent="0.35">
      <c r="A41" s="689" t="s">
        <v>207</v>
      </c>
      <c r="B41" s="331" t="s">
        <v>305</v>
      </c>
      <c r="C41" s="653" t="s">
        <v>306</v>
      </c>
      <c r="D41" s="301">
        <v>1264</v>
      </c>
      <c r="E41" s="331" t="s">
        <v>17</v>
      </c>
      <c r="F41" s="277">
        <v>10</v>
      </c>
      <c r="G41" s="249">
        <v>80</v>
      </c>
      <c r="H41" s="249">
        <v>117</v>
      </c>
      <c r="I41" s="249">
        <v>32</v>
      </c>
      <c r="J41" s="249">
        <v>14</v>
      </c>
      <c r="K41" s="249"/>
      <c r="L41" s="249"/>
      <c r="M41" s="826">
        <v>2</v>
      </c>
      <c r="N41" s="729">
        <f t="shared" si="29"/>
        <v>253</v>
      </c>
      <c r="O41" s="300">
        <f t="shared" si="30"/>
        <v>30</v>
      </c>
      <c r="Q41" s="263" t="str">
        <f t="shared" si="31"/>
        <v>NO</v>
      </c>
      <c r="R41" s="603" t="str">
        <f t="shared" si="32"/>
        <v/>
      </c>
      <c r="T41" s="583" t="str">
        <f t="shared" si="34"/>
        <v/>
      </c>
      <c r="V41" s="985"/>
    </row>
    <row r="42" spans="1:22" ht="17.100000000000001" customHeight="1" thickBot="1" x14ac:dyDescent="0.35">
      <c r="A42" s="689" t="s">
        <v>207</v>
      </c>
      <c r="B42" s="331"/>
      <c r="C42" s="653" t="s">
        <v>170</v>
      </c>
      <c r="D42" s="301">
        <v>1853</v>
      </c>
      <c r="E42" s="331" t="s">
        <v>17</v>
      </c>
      <c r="F42" s="277">
        <v>10</v>
      </c>
      <c r="G42" s="249">
        <v>50</v>
      </c>
      <c r="H42" s="249">
        <v>90</v>
      </c>
      <c r="I42" s="249">
        <v>72</v>
      </c>
      <c r="J42" s="249">
        <v>14</v>
      </c>
      <c r="K42" s="249">
        <v>12</v>
      </c>
      <c r="L42" s="249"/>
      <c r="M42" s="826">
        <v>1</v>
      </c>
      <c r="N42" s="729">
        <f t="shared" si="29"/>
        <v>248</v>
      </c>
      <c r="O42" s="300">
        <f t="shared" si="30"/>
        <v>30</v>
      </c>
      <c r="Q42" s="263" t="str">
        <f t="shared" si="31"/>
        <v>NO</v>
      </c>
      <c r="R42" s="603" t="str">
        <f t="shared" si="32"/>
        <v/>
      </c>
      <c r="T42" s="583" t="str">
        <f t="shared" si="34"/>
        <v/>
      </c>
    </row>
    <row r="43" spans="1:22" ht="17.100000000000001" customHeight="1" thickBot="1" x14ac:dyDescent="0.35">
      <c r="A43" s="689" t="s">
        <v>207</v>
      </c>
      <c r="B43" s="331"/>
      <c r="C43" s="653" t="s">
        <v>368</v>
      </c>
      <c r="D43" s="301">
        <v>1742</v>
      </c>
      <c r="E43" s="331" t="s">
        <v>17</v>
      </c>
      <c r="F43" s="277">
        <v>0</v>
      </c>
      <c r="G43" s="249">
        <v>40</v>
      </c>
      <c r="H43" s="249">
        <v>126</v>
      </c>
      <c r="I43" s="249">
        <v>32</v>
      </c>
      <c r="J43" s="249">
        <v>35</v>
      </c>
      <c r="K43" s="249">
        <v>12</v>
      </c>
      <c r="L43" s="249"/>
      <c r="M43" s="826">
        <v>1</v>
      </c>
      <c r="N43" s="729">
        <f t="shared" si="29"/>
        <v>245</v>
      </c>
      <c r="O43" s="300">
        <f t="shared" si="30"/>
        <v>30</v>
      </c>
      <c r="Q43" s="263" t="str">
        <f t="shared" si="31"/>
        <v>NO</v>
      </c>
      <c r="R43" s="603" t="str">
        <f t="shared" si="32"/>
        <v/>
      </c>
      <c r="T43" s="583" t="str">
        <f t="shared" si="34"/>
        <v/>
      </c>
    </row>
    <row r="44" spans="1:22" ht="17.100000000000001" customHeight="1" thickBot="1" x14ac:dyDescent="0.35">
      <c r="A44" s="689" t="s">
        <v>207</v>
      </c>
      <c r="B44" s="331"/>
      <c r="C44" s="653" t="s">
        <v>359</v>
      </c>
      <c r="D44" s="301">
        <v>1225</v>
      </c>
      <c r="E44" s="331" t="s">
        <v>17</v>
      </c>
      <c r="F44" s="277">
        <v>0</v>
      </c>
      <c r="G44" s="249">
        <v>10</v>
      </c>
      <c r="H44" s="249">
        <v>72</v>
      </c>
      <c r="I44" s="249">
        <v>80</v>
      </c>
      <c r="J44" s="249">
        <v>28</v>
      </c>
      <c r="K44" s="249">
        <v>30</v>
      </c>
      <c r="L44" s="249"/>
      <c r="M44" s="826">
        <v>2</v>
      </c>
      <c r="N44" s="729">
        <f t="shared" si="29"/>
        <v>220</v>
      </c>
      <c r="O44" s="300">
        <f t="shared" si="30"/>
        <v>30</v>
      </c>
      <c r="Q44" s="263" t="str">
        <f t="shared" si="31"/>
        <v>NO</v>
      </c>
      <c r="R44" s="603" t="str">
        <f t="shared" si="32"/>
        <v/>
      </c>
      <c r="T44" s="583" t="str">
        <f t="shared" ref="T44:T45" si="35">IF(O44=0,"",IF(O44=30,"","Shot count Error"))</f>
        <v/>
      </c>
    </row>
    <row r="45" spans="1:22" ht="17.100000000000001" customHeight="1" thickBot="1" x14ac:dyDescent="0.35">
      <c r="A45" s="689" t="s">
        <v>207</v>
      </c>
      <c r="B45" s="331" t="s">
        <v>262</v>
      </c>
      <c r="C45" s="653" t="s">
        <v>146</v>
      </c>
      <c r="D45" s="301">
        <v>1615</v>
      </c>
      <c r="E45" s="331" t="s">
        <v>17</v>
      </c>
      <c r="F45" s="277">
        <v>0</v>
      </c>
      <c r="G45" s="249">
        <v>20</v>
      </c>
      <c r="H45" s="249">
        <v>54</v>
      </c>
      <c r="I45" s="249">
        <v>72</v>
      </c>
      <c r="J45" s="249">
        <v>49</v>
      </c>
      <c r="K45" s="249">
        <v>12</v>
      </c>
      <c r="L45" s="249">
        <v>5</v>
      </c>
      <c r="M45" s="826">
        <v>3</v>
      </c>
      <c r="N45" s="729">
        <f t="shared" si="29"/>
        <v>212</v>
      </c>
      <c r="O45" s="300">
        <f t="shared" si="30"/>
        <v>30</v>
      </c>
      <c r="Q45" s="263" t="str">
        <f t="shared" si="31"/>
        <v>NO</v>
      </c>
      <c r="R45" s="603" t="str">
        <f t="shared" si="32"/>
        <v/>
      </c>
      <c r="T45" s="583" t="str">
        <f t="shared" si="35"/>
        <v/>
      </c>
    </row>
    <row r="46" spans="1:22" ht="17.100000000000001" customHeight="1" thickBot="1" x14ac:dyDescent="0.35">
      <c r="A46" s="689" t="s">
        <v>207</v>
      </c>
      <c r="B46" s="331" t="s">
        <v>279</v>
      </c>
      <c r="C46" s="653" t="s">
        <v>304</v>
      </c>
      <c r="D46" s="301">
        <v>1580</v>
      </c>
      <c r="E46" s="331" t="s">
        <v>17</v>
      </c>
      <c r="F46" s="277">
        <v>0</v>
      </c>
      <c r="G46" s="249">
        <v>20</v>
      </c>
      <c r="H46" s="249">
        <v>81</v>
      </c>
      <c r="I46" s="249">
        <v>24</v>
      </c>
      <c r="J46" s="249">
        <v>70</v>
      </c>
      <c r="K46" s="249">
        <v>6</v>
      </c>
      <c r="L46" s="249">
        <v>5</v>
      </c>
      <c r="M46" s="826">
        <v>4</v>
      </c>
      <c r="N46" s="729">
        <f t="shared" si="29"/>
        <v>206</v>
      </c>
      <c r="O46" s="300">
        <f t="shared" si="30"/>
        <v>30</v>
      </c>
      <c r="Q46" s="263" t="str">
        <f t="shared" si="31"/>
        <v>NO</v>
      </c>
      <c r="R46" s="603" t="str">
        <f t="shared" si="32"/>
        <v/>
      </c>
      <c r="T46" s="583" t="str">
        <f t="shared" ref="T46" si="36">IF(O46=0,"",IF(O46=30,"","Shot count Error"))</f>
        <v/>
      </c>
    </row>
    <row r="47" spans="1:22" ht="17.100000000000001" customHeight="1" thickBot="1" x14ac:dyDescent="0.35">
      <c r="A47" s="689" t="s">
        <v>207</v>
      </c>
      <c r="B47" s="331" t="s">
        <v>164</v>
      </c>
      <c r="C47" s="653" t="s">
        <v>141</v>
      </c>
      <c r="D47" s="301">
        <v>168</v>
      </c>
      <c r="E47" s="331" t="s">
        <v>17</v>
      </c>
      <c r="F47" s="277">
        <v>0</v>
      </c>
      <c r="G47" s="249">
        <v>30</v>
      </c>
      <c r="H47" s="249">
        <v>72</v>
      </c>
      <c r="I47" s="249">
        <v>48</v>
      </c>
      <c r="J47" s="249">
        <v>21</v>
      </c>
      <c r="K47" s="249">
        <v>30</v>
      </c>
      <c r="L47" s="249"/>
      <c r="M47" s="826">
        <v>5</v>
      </c>
      <c r="N47" s="729">
        <f t="shared" si="29"/>
        <v>201</v>
      </c>
      <c r="O47" s="300">
        <f t="shared" si="30"/>
        <v>30</v>
      </c>
      <c r="Q47" s="263" t="str">
        <f t="shared" si="31"/>
        <v>NO</v>
      </c>
      <c r="R47" s="603" t="str">
        <f t="shared" si="32"/>
        <v/>
      </c>
      <c r="T47" s="583" t="str">
        <f t="shared" ref="T47" si="37">IF(O47=0,"",IF(O47=30,"","Shot count Error"))</f>
        <v/>
      </c>
    </row>
    <row r="48" spans="1:22" ht="17.100000000000001" customHeight="1" thickBot="1" x14ac:dyDescent="0.35">
      <c r="A48" s="689" t="s">
        <v>207</v>
      </c>
      <c r="B48" s="331" t="s">
        <v>293</v>
      </c>
      <c r="C48" s="653" t="s">
        <v>374</v>
      </c>
      <c r="D48" s="301" t="s">
        <v>245</v>
      </c>
      <c r="E48" s="331" t="s">
        <v>17</v>
      </c>
      <c r="F48" s="277">
        <v>0</v>
      </c>
      <c r="G48" s="249">
        <v>0</v>
      </c>
      <c r="H48" s="249">
        <v>27</v>
      </c>
      <c r="I48" s="249">
        <v>56</v>
      </c>
      <c r="J48" s="249">
        <v>35</v>
      </c>
      <c r="K48" s="249">
        <v>24</v>
      </c>
      <c r="L48" s="249">
        <v>5</v>
      </c>
      <c r="M48" s="826">
        <v>10</v>
      </c>
      <c r="N48" s="729">
        <f t="shared" si="29"/>
        <v>147</v>
      </c>
      <c r="O48" s="300">
        <f t="shared" si="30"/>
        <v>30</v>
      </c>
      <c r="Q48" s="263" t="str">
        <f t="shared" si="31"/>
        <v>NO</v>
      </c>
      <c r="R48" s="604" t="str">
        <f t="shared" si="32"/>
        <v/>
      </c>
      <c r="T48" s="583"/>
    </row>
    <row r="49" spans="1:20" ht="17.100000000000001" customHeight="1" thickBot="1" x14ac:dyDescent="0.35">
      <c r="A49" s="689" t="s">
        <v>207</v>
      </c>
      <c r="B49" s="331" t="s">
        <v>260</v>
      </c>
      <c r="C49" s="653" t="s">
        <v>375</v>
      </c>
      <c r="D49" s="301" t="s">
        <v>245</v>
      </c>
      <c r="E49" s="331" t="s">
        <v>17</v>
      </c>
      <c r="F49" s="277">
        <v>0</v>
      </c>
      <c r="G49" s="249">
        <v>10</v>
      </c>
      <c r="H49" s="249">
        <v>18</v>
      </c>
      <c r="I49" s="249">
        <v>24</v>
      </c>
      <c r="J49" s="249">
        <v>63</v>
      </c>
      <c r="K49" s="249">
        <v>12</v>
      </c>
      <c r="L49" s="249">
        <v>5</v>
      </c>
      <c r="M49" s="826">
        <v>12</v>
      </c>
      <c r="N49" s="729">
        <f t="shared" si="29"/>
        <v>132</v>
      </c>
      <c r="O49" s="300">
        <f t="shared" si="30"/>
        <v>30</v>
      </c>
      <c r="Q49" s="263" t="str">
        <f t="shared" si="31"/>
        <v>NO</v>
      </c>
      <c r="R49" s="603" t="str">
        <f t="shared" si="32"/>
        <v/>
      </c>
      <c r="T49" s="583" t="str">
        <f t="shared" si="0"/>
        <v/>
      </c>
    </row>
    <row r="50" spans="1:20" ht="17.100000000000001" customHeight="1" thickBot="1" x14ac:dyDescent="0.35">
      <c r="A50" s="689" t="s">
        <v>207</v>
      </c>
      <c r="B50" s="331" t="s">
        <v>35</v>
      </c>
      <c r="C50" s="653" t="s">
        <v>243</v>
      </c>
      <c r="D50" s="301">
        <v>2005</v>
      </c>
      <c r="E50" s="331" t="s">
        <v>17</v>
      </c>
      <c r="F50" s="277">
        <v>0</v>
      </c>
      <c r="G50" s="249">
        <v>0</v>
      </c>
      <c r="H50" s="249">
        <v>36</v>
      </c>
      <c r="I50" s="249">
        <v>16</v>
      </c>
      <c r="J50" s="249">
        <v>21</v>
      </c>
      <c r="K50" s="249">
        <v>30</v>
      </c>
      <c r="L50" s="249"/>
      <c r="M50" s="826">
        <v>16</v>
      </c>
      <c r="N50" s="729">
        <f t="shared" si="29"/>
        <v>103</v>
      </c>
      <c r="O50" s="300">
        <f t="shared" si="30"/>
        <v>30</v>
      </c>
      <c r="P50" s="233"/>
      <c r="Q50" s="266" t="str">
        <f t="shared" si="31"/>
        <v>NO</v>
      </c>
      <c r="R50" s="605" t="str">
        <f t="shared" si="32"/>
        <v/>
      </c>
      <c r="T50" s="583" t="str">
        <f t="shared" si="0"/>
        <v/>
      </c>
    </row>
    <row r="51" spans="1:20" ht="17.100000000000001" customHeight="1" thickBot="1" x14ac:dyDescent="0.35">
      <c r="A51" s="689" t="s">
        <v>207</v>
      </c>
      <c r="B51" s="331"/>
      <c r="C51" s="653" t="s">
        <v>367</v>
      </c>
      <c r="D51" s="301">
        <v>2233</v>
      </c>
      <c r="E51" s="331" t="s">
        <v>17</v>
      </c>
      <c r="F51" s="277">
        <v>0</v>
      </c>
      <c r="G51" s="249">
        <v>10</v>
      </c>
      <c r="H51" s="249">
        <v>0</v>
      </c>
      <c r="I51" s="249">
        <v>24</v>
      </c>
      <c r="J51" s="249">
        <v>21</v>
      </c>
      <c r="K51" s="249">
        <v>36</v>
      </c>
      <c r="L51" s="249">
        <v>10</v>
      </c>
      <c r="M51" s="826">
        <v>15</v>
      </c>
      <c r="N51" s="729">
        <f t="shared" si="29"/>
        <v>101</v>
      </c>
      <c r="O51" s="300">
        <f t="shared" si="30"/>
        <v>30</v>
      </c>
      <c r="P51" s="233"/>
      <c r="Q51" s="266" t="str">
        <f t="shared" si="31"/>
        <v>NO</v>
      </c>
      <c r="R51" s="605" t="str">
        <f t="shared" si="32"/>
        <v/>
      </c>
      <c r="T51" s="583" t="str">
        <f t="shared" si="0"/>
        <v/>
      </c>
    </row>
    <row r="52" spans="1:20" ht="17.100000000000001" customHeight="1" thickBot="1" x14ac:dyDescent="0.35">
      <c r="A52" s="689" t="s">
        <v>207</v>
      </c>
      <c r="B52" s="331" t="s">
        <v>277</v>
      </c>
      <c r="C52" s="653" t="s">
        <v>221</v>
      </c>
      <c r="D52" s="301">
        <v>1984</v>
      </c>
      <c r="E52" s="331" t="s">
        <v>17</v>
      </c>
      <c r="F52" s="277">
        <v>0</v>
      </c>
      <c r="G52" s="249">
        <v>10</v>
      </c>
      <c r="H52" s="249">
        <v>9</v>
      </c>
      <c r="I52" s="249">
        <v>0</v>
      </c>
      <c r="J52" s="249">
        <v>21</v>
      </c>
      <c r="K52" s="249">
        <v>12</v>
      </c>
      <c r="L52" s="249"/>
      <c r="M52" s="826">
        <v>23</v>
      </c>
      <c r="N52" s="729">
        <f t="shared" si="29"/>
        <v>52</v>
      </c>
      <c r="O52" s="300">
        <f t="shared" si="30"/>
        <v>30</v>
      </c>
      <c r="Q52" s="543" t="str">
        <f t="shared" si="31"/>
        <v>NO</v>
      </c>
      <c r="R52" s="605" t="str">
        <f t="shared" si="32"/>
        <v/>
      </c>
      <c r="T52" s="583" t="str">
        <f t="shared" si="0"/>
        <v/>
      </c>
    </row>
    <row r="53" spans="1:20" ht="17.100000000000001" customHeight="1" thickBot="1" x14ac:dyDescent="0.35">
      <c r="B53" s="331" t="s">
        <v>252</v>
      </c>
      <c r="C53" s="653" t="s">
        <v>220</v>
      </c>
      <c r="D53" s="301">
        <v>1983</v>
      </c>
      <c r="E53" s="331" t="s">
        <v>17</v>
      </c>
      <c r="F53" s="277">
        <v>10</v>
      </c>
      <c r="G53" s="249">
        <v>0</v>
      </c>
      <c r="H53" s="249">
        <v>0</v>
      </c>
      <c r="I53" s="249">
        <v>0</v>
      </c>
      <c r="J53" s="249">
        <v>0</v>
      </c>
      <c r="K53" s="249">
        <v>0</v>
      </c>
      <c r="L53" s="249">
        <v>0</v>
      </c>
      <c r="M53" s="826">
        <v>29</v>
      </c>
      <c r="N53" s="729">
        <f t="shared" si="29"/>
        <v>10</v>
      </c>
      <c r="O53" s="300">
        <f t="shared" si="30"/>
        <v>30</v>
      </c>
      <c r="Q53" s="543" t="str">
        <f t="shared" si="31"/>
        <v>NO</v>
      </c>
      <c r="R53" s="605" t="str">
        <f t="shared" si="32"/>
        <v/>
      </c>
      <c r="T53" s="583" t="str">
        <f t="shared" ref="T53" si="38">IF(O53=0,"",IF(O53=30,"","Shot count Error"))</f>
        <v/>
      </c>
    </row>
    <row r="54" spans="1:20" ht="17.100000000000001" customHeight="1" thickBot="1" x14ac:dyDescent="0.35">
      <c r="B54" s="331" t="s">
        <v>230</v>
      </c>
      <c r="C54" s="653" t="s">
        <v>181</v>
      </c>
      <c r="D54" s="301">
        <v>2580</v>
      </c>
      <c r="E54" s="331" t="s">
        <v>17</v>
      </c>
      <c r="F54" s="277">
        <v>0</v>
      </c>
      <c r="G54" s="249">
        <v>10</v>
      </c>
      <c r="H54" s="249">
        <v>54</v>
      </c>
      <c r="I54" s="249">
        <v>72</v>
      </c>
      <c r="J54" s="249">
        <v>56</v>
      </c>
      <c r="K54" s="249">
        <v>30</v>
      </c>
      <c r="L54" s="249"/>
      <c r="M54" s="826">
        <v>1</v>
      </c>
      <c r="N54" s="729">
        <f t="shared" si="29"/>
        <v>222</v>
      </c>
      <c r="O54" s="300">
        <f t="shared" si="30"/>
        <v>30</v>
      </c>
      <c r="Q54" s="543" t="str">
        <f t="shared" si="31"/>
        <v>NO</v>
      </c>
      <c r="R54" s="605" t="str">
        <f t="shared" si="32"/>
        <v/>
      </c>
      <c r="T54" s="583" t="str">
        <f t="shared" si="0"/>
        <v/>
      </c>
    </row>
    <row r="55" spans="1:20" ht="17.100000000000001" hidden="1" customHeight="1" thickBot="1" x14ac:dyDescent="0.35">
      <c r="A55" s="689" t="s">
        <v>207</v>
      </c>
      <c r="B55" s="692"/>
      <c r="C55" s="327" t="s">
        <v>217</v>
      </c>
      <c r="D55" s="287">
        <v>1624</v>
      </c>
      <c r="E55" s="693" t="s">
        <v>17</v>
      </c>
      <c r="F55" s="252"/>
      <c r="G55" s="253"/>
      <c r="H55" s="253"/>
      <c r="I55" s="253"/>
      <c r="J55" s="253"/>
      <c r="K55" s="253"/>
      <c r="L55" s="270"/>
      <c r="M55" s="271"/>
      <c r="N55" s="242">
        <f t="shared" si="19"/>
        <v>0</v>
      </c>
      <c r="O55" s="224">
        <f t="shared" ref="O55" si="39">(F55/10)+(G55/10)+(H55/9)+(I55/8)+(J55/7)+(K55/6)+(L55/5)+M55</f>
        <v>0</v>
      </c>
      <c r="Q55" s="832" t="str">
        <f t="shared" ref="Q55" si="40">IF(N55&gt;279,"Yes","NO")</f>
        <v>NO</v>
      </c>
      <c r="R55" s="609" t="str">
        <f t="shared" ref="R55:R56" si="41">IF(Q55="yes","S","")</f>
        <v/>
      </c>
      <c r="T55" s="583" t="str">
        <f t="shared" si="0"/>
        <v/>
      </c>
    </row>
    <row r="56" spans="1:20" ht="17.100000000000001" hidden="1" customHeight="1" thickBot="1" x14ac:dyDescent="0.35">
      <c r="A56" s="689" t="s">
        <v>207</v>
      </c>
      <c r="B56" s="544"/>
      <c r="C56" s="562" t="s">
        <v>193</v>
      </c>
      <c r="D56" s="547">
        <v>1118</v>
      </c>
      <c r="E56" s="653" t="s">
        <v>17</v>
      </c>
      <c r="F56" s="222"/>
      <c r="G56" s="223"/>
      <c r="H56" s="223"/>
      <c r="I56" s="223"/>
      <c r="J56" s="223"/>
      <c r="K56" s="223"/>
      <c r="L56" s="221"/>
      <c r="M56" s="211"/>
      <c r="N56" s="219">
        <f t="shared" si="19"/>
        <v>0</v>
      </c>
      <c r="O56" s="239">
        <f t="shared" si="20"/>
        <v>0</v>
      </c>
      <c r="P56" s="240"/>
      <c r="Q56" s="275" t="str">
        <f t="shared" ref="Q56" si="42">IF(N56&gt;279,"Yes","NO")</f>
        <v>NO</v>
      </c>
      <c r="R56" s="607" t="str">
        <f t="shared" si="41"/>
        <v/>
      </c>
      <c r="T56" s="586" t="str">
        <f t="shared" si="0"/>
        <v/>
      </c>
    </row>
    <row r="57" spans="1:20" ht="24" customHeight="1" thickBot="1" x14ac:dyDescent="0.35">
      <c r="B57" s="967">
        <f>COUNTA(B17:B54)</f>
        <v>20</v>
      </c>
      <c r="C57" s="737" t="s">
        <v>71</v>
      </c>
      <c r="D57" s="1149" t="s">
        <v>74</v>
      </c>
      <c r="E57" s="1150"/>
      <c r="F57" s="1150"/>
      <c r="G57" s="1150"/>
      <c r="H57" s="1150"/>
      <c r="I57" s="1150"/>
      <c r="J57" s="1150"/>
      <c r="K57" s="1150"/>
      <c r="L57" s="1150"/>
      <c r="M57" s="1150"/>
      <c r="N57" s="1113"/>
      <c r="O57" s="1151"/>
      <c r="T57" s="585"/>
    </row>
    <row r="58" spans="1:20" x14ac:dyDescent="0.3">
      <c r="T58" s="585"/>
    </row>
    <row r="59" spans="1:20" ht="18.600000000000001" thickBot="1" x14ac:dyDescent="0.35">
      <c r="T59" s="585"/>
    </row>
    <row r="60" spans="1:20" ht="27.9" customHeight="1" thickBot="1" x14ac:dyDescent="0.35">
      <c r="C60" s="1117" t="s">
        <v>20</v>
      </c>
      <c r="D60" s="1118"/>
      <c r="E60" s="1118"/>
      <c r="F60" s="1118"/>
      <c r="G60" s="1118"/>
      <c r="H60" s="1118"/>
      <c r="I60" s="1118"/>
      <c r="J60" s="1118"/>
      <c r="K60" s="1118"/>
      <c r="L60" s="1115" t="s">
        <v>182</v>
      </c>
      <c r="M60" s="1116"/>
      <c r="N60" s="580">
        <v>30</v>
      </c>
      <c r="O60" s="1115" t="s">
        <v>189</v>
      </c>
      <c r="P60" s="1116"/>
      <c r="Q60" s="587">
        <v>300</v>
      </c>
      <c r="R60" s="597"/>
      <c r="T60" s="1126" t="s">
        <v>185</v>
      </c>
    </row>
    <row r="61" spans="1:20" ht="30" customHeight="1" thickBot="1" x14ac:dyDescent="0.35">
      <c r="B61" s="535" t="s">
        <v>154</v>
      </c>
      <c r="C61" s="1014" t="s">
        <v>0</v>
      </c>
      <c r="D61" s="466" t="s">
        <v>1</v>
      </c>
      <c r="E61" s="200" t="s">
        <v>2</v>
      </c>
      <c r="F61" s="201" t="s">
        <v>48</v>
      </c>
      <c r="G61" s="202">
        <v>10</v>
      </c>
      <c r="H61" s="202">
        <v>9</v>
      </c>
      <c r="I61" s="202">
        <v>8</v>
      </c>
      <c r="J61" s="202">
        <v>7</v>
      </c>
      <c r="K61" s="202">
        <v>6</v>
      </c>
      <c r="L61" s="203">
        <v>5</v>
      </c>
      <c r="M61" s="256">
        <v>0</v>
      </c>
      <c r="N61" s="205" t="s">
        <v>9</v>
      </c>
      <c r="O61" s="204" t="s">
        <v>49</v>
      </c>
      <c r="P61" s="257"/>
      <c r="Q61" s="258" t="s">
        <v>59</v>
      </c>
      <c r="R61" s="259" t="s">
        <v>60</v>
      </c>
      <c r="T61" s="1127"/>
    </row>
    <row r="62" spans="1:20" ht="17.100000000000001" hidden="1" customHeight="1" thickBot="1" x14ac:dyDescent="0.35">
      <c r="A62" s="689" t="s">
        <v>208</v>
      </c>
      <c r="B62" s="331"/>
      <c r="C62" s="546" t="s">
        <v>147</v>
      </c>
      <c r="D62" s="254">
        <v>2149</v>
      </c>
      <c r="E62" s="331" t="s">
        <v>18</v>
      </c>
      <c r="F62" s="216"/>
      <c r="G62" s="217"/>
      <c r="H62" s="217"/>
      <c r="I62" s="217"/>
      <c r="J62" s="217"/>
      <c r="K62" s="217"/>
      <c r="L62" s="214"/>
      <c r="M62" s="218"/>
      <c r="N62" s="230">
        <f>SUM($F62:$L62)</f>
        <v>0</v>
      </c>
      <c r="O62" s="265">
        <f t="shared" ref="O62" si="43">(F62/10)+(G62/10)+(H62/9)+(I62/8)+(J62/7)+(K62/6)+(L62/5)+M62</f>
        <v>0</v>
      </c>
      <c r="Q62" s="1167"/>
      <c r="R62" s="1168"/>
      <c r="T62" s="586" t="str">
        <f>IF(O63=0,"",IF(O63=30,"","Shot count Error"))</f>
        <v/>
      </c>
    </row>
    <row r="63" spans="1:20" ht="17.100000000000001" hidden="1" customHeight="1" thickBot="1" x14ac:dyDescent="0.35">
      <c r="A63" s="689" t="s">
        <v>208</v>
      </c>
      <c r="B63" s="331"/>
      <c r="C63" s="395" t="s">
        <v>143</v>
      </c>
      <c r="D63" s="287">
        <v>1786</v>
      </c>
      <c r="E63" s="325" t="s">
        <v>18</v>
      </c>
      <c r="F63" s="216"/>
      <c r="G63" s="217"/>
      <c r="H63" s="217"/>
      <c r="I63" s="217"/>
      <c r="J63" s="217"/>
      <c r="K63" s="217"/>
      <c r="L63" s="214"/>
      <c r="M63" s="218"/>
      <c r="N63" s="242">
        <f>SUM($F63:$L63)</f>
        <v>0</v>
      </c>
      <c r="O63" s="300">
        <f>(F63/10)+(G63/10)+(H63/9)+(I63/8)+(J63/7)+(K63/6)+(L63/5)+M63</f>
        <v>0</v>
      </c>
      <c r="Q63" s="1169"/>
      <c r="R63" s="1170"/>
      <c r="T63" s="586"/>
    </row>
    <row r="64" spans="1:20" ht="17.100000000000001" hidden="1" customHeight="1" thickBot="1" x14ac:dyDescent="0.35">
      <c r="A64" s="689" t="s">
        <v>208</v>
      </c>
      <c r="B64" s="331"/>
      <c r="C64" s="396" t="s">
        <v>197</v>
      </c>
      <c r="D64" s="232">
        <v>786</v>
      </c>
      <c r="E64" s="329" t="s">
        <v>14</v>
      </c>
      <c r="F64" s="216"/>
      <c r="G64" s="217"/>
      <c r="H64" s="217"/>
      <c r="I64" s="217"/>
      <c r="J64" s="217"/>
      <c r="K64" s="217"/>
      <c r="L64" s="214"/>
      <c r="M64" s="218"/>
      <c r="N64" s="226">
        <f t="shared" ref="N64:N68" si="44">SUM($F64:$L64)</f>
        <v>0</v>
      </c>
      <c r="O64" s="261">
        <f t="shared" ref="O64:O94" si="45">(F64/10)+(G64/10)+(H64/9)+(I64/8)+(J64/7)+(K64/6)+(L64/5)+M64</f>
        <v>0</v>
      </c>
      <c r="Q64" s="1169"/>
      <c r="R64" s="1170"/>
      <c r="T64" s="586" t="str">
        <f t="shared" si="0"/>
        <v/>
      </c>
    </row>
    <row r="65" spans="1:20" ht="17.100000000000001" customHeight="1" thickBot="1" x14ac:dyDescent="0.35">
      <c r="B65" s="331"/>
      <c r="C65" s="396" t="s">
        <v>147</v>
      </c>
      <c r="D65" s="232">
        <v>2149</v>
      </c>
      <c r="E65" s="329" t="s">
        <v>18</v>
      </c>
      <c r="F65" s="216">
        <v>80</v>
      </c>
      <c r="G65" s="217">
        <v>170</v>
      </c>
      <c r="H65" s="217">
        <v>45</v>
      </c>
      <c r="I65" s="217"/>
      <c r="J65" s="217"/>
      <c r="K65" s="217"/>
      <c r="L65" s="214"/>
      <c r="M65" s="218"/>
      <c r="N65" s="230">
        <f t="shared" si="44"/>
        <v>295</v>
      </c>
      <c r="O65" s="300">
        <f t="shared" ref="O65" si="46">(F65/10)+(G65/10)+(H65/9)+(I65/8)+(J65/7)+(K65/6)+(L65/5)+M65</f>
        <v>30</v>
      </c>
      <c r="Q65" s="1169"/>
      <c r="R65" s="1170"/>
      <c r="T65" s="1073"/>
    </row>
    <row r="66" spans="1:20" ht="17.100000000000001" customHeight="1" thickBot="1" x14ac:dyDescent="0.35">
      <c r="A66" s="689" t="s">
        <v>208</v>
      </c>
      <c r="B66" s="331" t="s">
        <v>300</v>
      </c>
      <c r="C66" s="546" t="s">
        <v>110</v>
      </c>
      <c r="D66" s="254">
        <v>1465</v>
      </c>
      <c r="E66" s="324" t="s">
        <v>18</v>
      </c>
      <c r="F66" s="216">
        <v>110</v>
      </c>
      <c r="G66" s="217">
        <v>90</v>
      </c>
      <c r="H66" s="217">
        <v>63</v>
      </c>
      <c r="I66" s="217">
        <v>16</v>
      </c>
      <c r="J66" s="217">
        <v>7</v>
      </c>
      <c r="K66" s="217"/>
      <c r="L66" s="214"/>
      <c r="M66" s="218"/>
      <c r="N66" s="230">
        <f t="shared" si="44"/>
        <v>286</v>
      </c>
      <c r="O66" s="300">
        <f t="shared" si="45"/>
        <v>30</v>
      </c>
      <c r="Q66" s="1173"/>
      <c r="R66" s="1174"/>
      <c r="T66" s="583" t="str">
        <f t="shared" si="0"/>
        <v/>
      </c>
    </row>
    <row r="67" spans="1:20" ht="17.100000000000001" hidden="1" customHeight="1" thickBot="1" x14ac:dyDescent="0.35">
      <c r="A67" s="689" t="s">
        <v>208</v>
      </c>
      <c r="B67" s="331"/>
      <c r="C67" s="309" t="s">
        <v>176</v>
      </c>
      <c r="D67" s="602">
        <v>2296</v>
      </c>
      <c r="E67" s="330" t="s">
        <v>14</v>
      </c>
      <c r="F67" s="216"/>
      <c r="G67" s="217"/>
      <c r="H67" s="217"/>
      <c r="I67" s="217"/>
      <c r="J67" s="217"/>
      <c r="K67" s="217"/>
      <c r="L67" s="214"/>
      <c r="M67" s="218"/>
      <c r="N67" s="226">
        <f t="shared" si="44"/>
        <v>0</v>
      </c>
      <c r="O67" s="261">
        <f t="shared" si="45"/>
        <v>0</v>
      </c>
      <c r="Q67" s="263" t="str">
        <f>IF(N67&gt;296,"Yes","NO")</f>
        <v>NO</v>
      </c>
      <c r="R67" s="606" t="str">
        <f>IF(Q67="yes","HM","")</f>
        <v/>
      </c>
      <c r="T67" s="583" t="str">
        <f t="shared" si="0"/>
        <v/>
      </c>
    </row>
    <row r="68" spans="1:20" ht="17.100000000000001" hidden="1" customHeight="1" thickBot="1" x14ac:dyDescent="0.35">
      <c r="A68" s="689" t="s">
        <v>208</v>
      </c>
      <c r="B68" s="331"/>
      <c r="C68" s="786"/>
      <c r="D68" s="233"/>
      <c r="E68" s="331" t="s">
        <v>14</v>
      </c>
      <c r="F68" s="216"/>
      <c r="G68" s="217"/>
      <c r="H68" s="217"/>
      <c r="I68" s="217"/>
      <c r="J68" s="217"/>
      <c r="K68" s="217"/>
      <c r="L68" s="214"/>
      <c r="M68" s="218"/>
      <c r="N68" s="230">
        <f t="shared" si="44"/>
        <v>0</v>
      </c>
      <c r="O68" s="300">
        <f t="shared" ref="O68" si="47">(F68/10)+(G68/10)+(H68/9)+(I68/8)+(J68/7)+(K68/6)+(L68/5)+M68</f>
        <v>0</v>
      </c>
      <c r="Q68" s="263" t="str">
        <f>IF(N68&gt;296,"Yes","NO")</f>
        <v>NO</v>
      </c>
      <c r="R68" s="607" t="str">
        <f>IF(Q68="yes","HM","")</f>
        <v/>
      </c>
      <c r="T68" s="583" t="str">
        <f t="shared" si="0"/>
        <v/>
      </c>
    </row>
    <row r="69" spans="1:20" ht="17.100000000000001" hidden="1" customHeight="1" thickBot="1" x14ac:dyDescent="0.35">
      <c r="A69" s="689" t="s">
        <v>208</v>
      </c>
      <c r="B69" s="331"/>
      <c r="C69" s="206" t="s">
        <v>192</v>
      </c>
      <c r="D69" s="227">
        <v>2434</v>
      </c>
      <c r="E69" s="330" t="s">
        <v>15</v>
      </c>
      <c r="F69" s="216"/>
      <c r="G69" s="217"/>
      <c r="H69" s="217"/>
      <c r="I69" s="217"/>
      <c r="J69" s="217"/>
      <c r="K69" s="217"/>
      <c r="L69" s="214"/>
      <c r="M69" s="218"/>
      <c r="N69" s="212">
        <f t="shared" ref="N69:N71" si="48">SUM($F69:$L69)</f>
        <v>0</v>
      </c>
      <c r="O69" s="334">
        <f t="shared" ref="O69:O80" si="49">(F69/10)+(G69/10)+(H69/9)+(I69/8)+(J69/7)+(K69/6)+(L69/5)+M69</f>
        <v>0</v>
      </c>
      <c r="P69" s="295"/>
      <c r="Q69" s="468" t="str">
        <f>IF(N69&gt;293,"Yes","NO")</f>
        <v>NO</v>
      </c>
      <c r="R69" s="606" t="str">
        <f>IF(Q69="yes","M","")</f>
        <v/>
      </c>
      <c r="T69" s="583" t="str">
        <f t="shared" si="0"/>
        <v/>
      </c>
    </row>
    <row r="70" spans="1:20" ht="17.100000000000001" hidden="1" customHeight="1" thickBot="1" x14ac:dyDescent="0.35">
      <c r="A70" s="689" t="s">
        <v>208</v>
      </c>
      <c r="B70" s="329"/>
      <c r="C70" s="396" t="s">
        <v>168</v>
      </c>
      <c r="D70" s="232">
        <v>1475</v>
      </c>
      <c r="E70" s="329" t="s">
        <v>15</v>
      </c>
      <c r="F70" s="216"/>
      <c r="G70" s="217"/>
      <c r="H70" s="217"/>
      <c r="I70" s="217"/>
      <c r="J70" s="217"/>
      <c r="K70" s="217"/>
      <c r="L70" s="214"/>
      <c r="M70" s="218"/>
      <c r="N70" s="215">
        <f t="shared" si="48"/>
        <v>0</v>
      </c>
      <c r="O70" s="265">
        <f t="shared" si="49"/>
        <v>0</v>
      </c>
      <c r="P70" s="233"/>
      <c r="Q70" s="266" t="str">
        <f>IF(N70&gt;293,"Yes","NO")</f>
        <v>NO</v>
      </c>
      <c r="R70" s="605" t="str">
        <f>IF(Q70="yes","M","")</f>
        <v/>
      </c>
      <c r="T70" s="583" t="str">
        <f t="shared" si="0"/>
        <v/>
      </c>
    </row>
    <row r="71" spans="1:20" ht="17.100000000000001" customHeight="1" thickBot="1" x14ac:dyDescent="0.35">
      <c r="B71" s="200"/>
      <c r="C71" s="1014" t="s">
        <v>360</v>
      </c>
      <c r="D71" s="269">
        <v>2434</v>
      </c>
      <c r="E71" s="200" t="s">
        <v>14</v>
      </c>
      <c r="F71" s="267">
        <v>100</v>
      </c>
      <c r="G71" s="268">
        <v>110</v>
      </c>
      <c r="H71" s="268">
        <v>72</v>
      </c>
      <c r="I71" s="268"/>
      <c r="J71" s="268"/>
      <c r="K71" s="268"/>
      <c r="L71" s="1015"/>
      <c r="M71" s="722">
        <v>1</v>
      </c>
      <c r="N71" s="205">
        <f t="shared" si="48"/>
        <v>282</v>
      </c>
      <c r="O71" s="858">
        <f t="shared" si="49"/>
        <v>30</v>
      </c>
      <c r="P71" s="257"/>
      <c r="Q71" s="1016" t="str">
        <f t="shared" ref="Q71" si="50">IF(N71&gt;293,"Yes","NO")</f>
        <v>NO</v>
      </c>
      <c r="R71" s="1017" t="str">
        <f t="shared" ref="R71" si="51">IF(Q71="yes","M","")</f>
        <v/>
      </c>
      <c r="T71" s="583" t="str">
        <f t="shared" ref="T71" si="52">IF(O71=0,"",IF(O71=30,"","Shot count Error"))</f>
        <v/>
      </c>
    </row>
    <row r="72" spans="1:20" ht="17.100000000000001" customHeight="1" thickBot="1" x14ac:dyDescent="0.35">
      <c r="A72" s="689" t="s">
        <v>208</v>
      </c>
      <c r="B72" s="330"/>
      <c r="C72" s="394" t="s">
        <v>372</v>
      </c>
      <c r="D72" s="225">
        <v>169</v>
      </c>
      <c r="E72" s="330" t="s">
        <v>15</v>
      </c>
      <c r="F72" s="222">
        <v>60</v>
      </c>
      <c r="G72" s="223">
        <v>150</v>
      </c>
      <c r="H72" s="223">
        <v>72</v>
      </c>
      <c r="I72" s="223">
        <v>8</v>
      </c>
      <c r="J72" s="223"/>
      <c r="K72" s="223"/>
      <c r="L72" s="221"/>
      <c r="M72" s="211"/>
      <c r="N72" s="212">
        <f t="shared" ref="N72:N91" si="53">SUM($F72:$L72)</f>
        <v>290</v>
      </c>
      <c r="O72" s="334">
        <f t="shared" ref="O72:O73" si="54">(F72/10)+(G72/10)+(H72/9)+(I72/8)+(J72/7)+(K72/6)+(L72/5)+M72</f>
        <v>30</v>
      </c>
      <c r="P72" s="295"/>
      <c r="Q72" s="468" t="str">
        <f t="shared" ref="Q72:Q73" si="55">IF(N72&gt;293,"Yes","NO")</f>
        <v>NO</v>
      </c>
      <c r="R72" s="606" t="str">
        <f t="shared" ref="R72:R73" si="56">IF(Q72="yes","M","")</f>
        <v/>
      </c>
      <c r="T72" s="583" t="str">
        <f t="shared" si="0"/>
        <v/>
      </c>
    </row>
    <row r="73" spans="1:20" ht="17.100000000000001" hidden="1" customHeight="1" thickBot="1" x14ac:dyDescent="0.35">
      <c r="A73" s="689" t="s">
        <v>208</v>
      </c>
      <c r="B73" s="331"/>
      <c r="C73" s="396" t="s">
        <v>112</v>
      </c>
      <c r="D73" s="232">
        <v>2021</v>
      </c>
      <c r="E73" s="329" t="s">
        <v>15</v>
      </c>
      <c r="F73" s="216"/>
      <c r="G73" s="217"/>
      <c r="H73" s="217"/>
      <c r="I73" s="217"/>
      <c r="J73" s="217"/>
      <c r="K73" s="217"/>
      <c r="L73" s="214"/>
      <c r="M73" s="218"/>
      <c r="N73" s="215">
        <f t="shared" si="53"/>
        <v>0</v>
      </c>
      <c r="O73" s="265">
        <f t="shared" si="54"/>
        <v>0</v>
      </c>
      <c r="P73" s="233"/>
      <c r="Q73" s="266" t="str">
        <f t="shared" si="55"/>
        <v>NO</v>
      </c>
      <c r="R73" s="605" t="str">
        <f t="shared" si="56"/>
        <v/>
      </c>
      <c r="T73" s="583" t="str">
        <f t="shared" si="0"/>
        <v/>
      </c>
    </row>
    <row r="74" spans="1:20" ht="17.100000000000001" hidden="1" customHeight="1" thickBot="1" x14ac:dyDescent="0.35">
      <c r="A74" s="689" t="s">
        <v>208</v>
      </c>
      <c r="B74" s="331"/>
      <c r="C74" s="546" t="s">
        <v>194</v>
      </c>
      <c r="D74" s="254">
        <v>1237</v>
      </c>
      <c r="E74" s="329" t="s">
        <v>15</v>
      </c>
      <c r="F74" s="216"/>
      <c r="G74" s="217"/>
      <c r="H74" s="217"/>
      <c r="I74" s="217"/>
      <c r="J74" s="217"/>
      <c r="K74" s="217"/>
      <c r="L74" s="214"/>
      <c r="M74" s="218"/>
      <c r="N74" s="215">
        <f t="shared" si="53"/>
        <v>0</v>
      </c>
      <c r="O74" s="265">
        <f t="shared" ref="O74" si="57">(F74/10)+(G74/10)+(H74/9)+(I74/8)+(J74/7)+(K74/6)+(L74/5)+M74</f>
        <v>0</v>
      </c>
      <c r="P74" s="233"/>
      <c r="Q74" s="266" t="str">
        <f t="shared" ref="Q74:Q80" si="58">IF(N74&gt;293,"Yes","NO")</f>
        <v>NO</v>
      </c>
      <c r="R74" s="605" t="str">
        <f t="shared" ref="R74:R80" si="59">IF(Q74="yes","M","")</f>
        <v/>
      </c>
      <c r="T74" s="583" t="str">
        <f t="shared" si="0"/>
        <v/>
      </c>
    </row>
    <row r="75" spans="1:20" ht="17.100000000000001" hidden="1" customHeight="1" thickBot="1" x14ac:dyDescent="0.35">
      <c r="A75" s="689" t="s">
        <v>208</v>
      </c>
      <c r="B75" s="331"/>
      <c r="C75" s="546"/>
      <c r="D75" s="254"/>
      <c r="E75" s="331" t="s">
        <v>15</v>
      </c>
      <c r="F75" s="216"/>
      <c r="G75" s="217"/>
      <c r="H75" s="217"/>
      <c r="I75" s="217"/>
      <c r="J75" s="217"/>
      <c r="K75" s="217"/>
      <c r="L75" s="214"/>
      <c r="M75" s="218"/>
      <c r="N75" s="230">
        <f t="shared" si="53"/>
        <v>0</v>
      </c>
      <c r="O75" s="300">
        <f t="shared" si="49"/>
        <v>0</v>
      </c>
      <c r="P75" s="301"/>
      <c r="Q75" s="276" t="str">
        <f t="shared" si="58"/>
        <v>NO</v>
      </c>
      <c r="R75" s="604" t="str">
        <f t="shared" si="59"/>
        <v/>
      </c>
      <c r="T75" s="583" t="str">
        <f t="shared" si="0"/>
        <v/>
      </c>
    </row>
    <row r="76" spans="1:20" ht="17.100000000000001" customHeight="1" thickBot="1" x14ac:dyDescent="0.35">
      <c r="B76" s="329"/>
      <c r="C76" s="396" t="s">
        <v>205</v>
      </c>
      <c r="D76" s="232">
        <v>1350</v>
      </c>
      <c r="E76" s="329" t="s">
        <v>15</v>
      </c>
      <c r="F76" s="216">
        <v>70</v>
      </c>
      <c r="G76" s="217">
        <v>110</v>
      </c>
      <c r="H76" s="217">
        <v>90</v>
      </c>
      <c r="I76" s="217">
        <v>16</v>
      </c>
      <c r="J76" s="217"/>
      <c r="K76" s="217"/>
      <c r="L76" s="214"/>
      <c r="M76" s="218"/>
      <c r="N76" s="215">
        <f t="shared" si="53"/>
        <v>286</v>
      </c>
      <c r="O76" s="265">
        <f t="shared" ref="O76:O78" si="60">(F76/10)+(G76/10)+(H76/9)+(I76/8)+(J76/7)+(K76/6)+(L76/5)+M76</f>
        <v>30</v>
      </c>
      <c r="P76" s="233"/>
      <c r="Q76" s="266" t="str">
        <f t="shared" si="58"/>
        <v>NO</v>
      </c>
      <c r="R76" s="605" t="str">
        <f t="shared" si="59"/>
        <v/>
      </c>
      <c r="T76" s="583"/>
    </row>
    <row r="77" spans="1:20" ht="17.100000000000001" customHeight="1" thickBot="1" x14ac:dyDescent="0.35">
      <c r="A77" s="689" t="s">
        <v>10</v>
      </c>
      <c r="B77" s="329" t="s">
        <v>253</v>
      </c>
      <c r="C77" s="396" t="s">
        <v>333</v>
      </c>
      <c r="D77" s="232">
        <v>2466</v>
      </c>
      <c r="E77" s="329" t="s">
        <v>15</v>
      </c>
      <c r="F77" s="216">
        <v>60</v>
      </c>
      <c r="G77" s="217">
        <v>90</v>
      </c>
      <c r="H77" s="217">
        <v>108</v>
      </c>
      <c r="I77" s="217">
        <v>24</v>
      </c>
      <c r="J77" s="217"/>
      <c r="K77" s="217"/>
      <c r="L77" s="214"/>
      <c r="M77" s="218"/>
      <c r="N77" s="215">
        <f t="shared" si="53"/>
        <v>282</v>
      </c>
      <c r="O77" s="265">
        <f t="shared" si="60"/>
        <v>30</v>
      </c>
      <c r="P77" s="233"/>
      <c r="Q77" s="266" t="str">
        <f t="shared" si="58"/>
        <v>NO</v>
      </c>
      <c r="R77" s="605" t="str">
        <f t="shared" si="59"/>
        <v/>
      </c>
      <c r="T77" s="583"/>
    </row>
    <row r="78" spans="1:20" ht="17.100000000000001" customHeight="1" thickBot="1" x14ac:dyDescent="0.35">
      <c r="B78" s="329"/>
      <c r="C78" s="396" t="s">
        <v>112</v>
      </c>
      <c r="D78" s="232">
        <v>2101</v>
      </c>
      <c r="E78" s="329" t="s">
        <v>15</v>
      </c>
      <c r="F78" s="216">
        <v>50</v>
      </c>
      <c r="G78" s="217">
        <v>80</v>
      </c>
      <c r="H78" s="217">
        <v>108</v>
      </c>
      <c r="I78" s="217">
        <v>32</v>
      </c>
      <c r="J78" s="217">
        <v>7</v>
      </c>
      <c r="K78" s="217"/>
      <c r="L78" s="214"/>
      <c r="M78" s="218"/>
      <c r="N78" s="215">
        <f t="shared" si="53"/>
        <v>277</v>
      </c>
      <c r="O78" s="265">
        <f t="shared" si="60"/>
        <v>30</v>
      </c>
      <c r="P78" s="233"/>
      <c r="Q78" s="266" t="str">
        <f t="shared" ref="Q78" si="61">IF(N78&gt;293,"Yes","NO")</f>
        <v>NO</v>
      </c>
      <c r="R78" s="605" t="str">
        <f t="shared" si="59"/>
        <v/>
      </c>
      <c r="T78" s="583"/>
    </row>
    <row r="79" spans="1:20" ht="17.100000000000001" customHeight="1" thickBot="1" x14ac:dyDescent="0.35">
      <c r="B79" s="329" t="s">
        <v>248</v>
      </c>
      <c r="C79" s="396" t="s">
        <v>115</v>
      </c>
      <c r="D79" s="232">
        <v>1383</v>
      </c>
      <c r="E79" s="329" t="s">
        <v>15</v>
      </c>
      <c r="F79" s="216">
        <v>50</v>
      </c>
      <c r="G79" s="217">
        <v>80</v>
      </c>
      <c r="H79" s="217">
        <v>99</v>
      </c>
      <c r="I79" s="217">
        <v>48</v>
      </c>
      <c r="J79" s="217"/>
      <c r="K79" s="217"/>
      <c r="L79" s="214"/>
      <c r="M79" s="218"/>
      <c r="N79" s="215">
        <f t="shared" si="53"/>
        <v>277</v>
      </c>
      <c r="O79" s="265">
        <f t="shared" si="49"/>
        <v>30</v>
      </c>
      <c r="P79" s="233"/>
      <c r="Q79" s="266" t="str">
        <f t="shared" si="58"/>
        <v>NO</v>
      </c>
      <c r="R79" s="605" t="str">
        <f t="shared" si="59"/>
        <v/>
      </c>
      <c r="T79" s="583" t="str">
        <f t="shared" ref="T79" si="62">IF(O79=0,"",IF(O79=30,"","Shot count Error"))</f>
        <v/>
      </c>
    </row>
    <row r="80" spans="1:20" ht="17.100000000000001" customHeight="1" thickBot="1" x14ac:dyDescent="0.35">
      <c r="A80" s="689" t="s">
        <v>208</v>
      </c>
      <c r="B80" s="324"/>
      <c r="C80" s="398" t="s">
        <v>145</v>
      </c>
      <c r="D80" s="241">
        <v>1764</v>
      </c>
      <c r="E80" s="324" t="s">
        <v>15</v>
      </c>
      <c r="F80" s="235">
        <v>30</v>
      </c>
      <c r="G80" s="236">
        <v>60</v>
      </c>
      <c r="H80" s="236">
        <v>117</v>
      </c>
      <c r="I80" s="236">
        <v>48</v>
      </c>
      <c r="J80" s="236">
        <v>14</v>
      </c>
      <c r="K80" s="236"/>
      <c r="L80" s="237"/>
      <c r="M80" s="238"/>
      <c r="N80" s="219">
        <f t="shared" si="53"/>
        <v>269</v>
      </c>
      <c r="O80" s="265">
        <f t="shared" si="49"/>
        <v>30</v>
      </c>
      <c r="P80" s="240"/>
      <c r="Q80" s="275" t="str">
        <f t="shared" si="58"/>
        <v>NO</v>
      </c>
      <c r="R80" s="607" t="str">
        <f t="shared" si="59"/>
        <v/>
      </c>
      <c r="T80" s="583" t="str">
        <f t="shared" si="0"/>
        <v/>
      </c>
    </row>
    <row r="81" spans="1:20" ht="17.100000000000001" customHeight="1" thickBot="1" x14ac:dyDescent="0.35">
      <c r="A81" s="689" t="s">
        <v>208</v>
      </c>
      <c r="B81" s="323" t="s">
        <v>249</v>
      </c>
      <c r="C81" s="397" t="s">
        <v>343</v>
      </c>
      <c r="D81" s="227">
        <v>1618</v>
      </c>
      <c r="E81" s="323" t="s">
        <v>16</v>
      </c>
      <c r="F81" s="222">
        <v>20</v>
      </c>
      <c r="G81" s="223">
        <v>80</v>
      </c>
      <c r="H81" s="223">
        <v>144</v>
      </c>
      <c r="I81" s="223">
        <v>32</v>
      </c>
      <c r="J81" s="223"/>
      <c r="K81" s="223"/>
      <c r="L81" s="221"/>
      <c r="M81" s="211"/>
      <c r="N81" s="208">
        <f t="shared" si="53"/>
        <v>276</v>
      </c>
      <c r="O81" s="260">
        <f t="shared" ref="O81:O91" si="63">(F81/10)+(G81/10)+(H81/9)+(I81/8)+(J81/7)+(K81/6)+(L81/5)+M81</f>
        <v>30</v>
      </c>
      <c r="P81" s="295"/>
      <c r="Q81" s="468" t="str">
        <f t="shared" ref="Q81:Q91" si="64">IF(N81&gt;289,"Yes","NO")</f>
        <v>NO</v>
      </c>
      <c r="R81" s="606" t="str">
        <f>IF(Q81="yes","G","")</f>
        <v/>
      </c>
      <c r="T81" s="583" t="str">
        <f t="shared" si="0"/>
        <v/>
      </c>
    </row>
    <row r="82" spans="1:20" ht="17.100000000000001" hidden="1" customHeight="1" thickBot="1" x14ac:dyDescent="0.35">
      <c r="A82" s="689" t="s">
        <v>208</v>
      </c>
      <c r="B82" s="331"/>
      <c r="C82" s="546" t="s">
        <v>206</v>
      </c>
      <c r="D82" s="254">
        <v>1041</v>
      </c>
      <c r="E82" s="331" t="s">
        <v>16</v>
      </c>
      <c r="F82" s="216"/>
      <c r="G82" s="217"/>
      <c r="H82" s="217"/>
      <c r="I82" s="217"/>
      <c r="J82" s="217"/>
      <c r="K82" s="217"/>
      <c r="L82" s="214"/>
      <c r="M82" s="218"/>
      <c r="N82" s="242">
        <f t="shared" si="53"/>
        <v>0</v>
      </c>
      <c r="O82" s="272">
        <f t="shared" si="63"/>
        <v>0</v>
      </c>
      <c r="Q82" s="266" t="str">
        <f t="shared" si="64"/>
        <v>NO</v>
      </c>
      <c r="R82" s="605" t="str">
        <f>IF(Q82="yes","G","")</f>
        <v/>
      </c>
      <c r="T82" s="583" t="str">
        <f t="shared" si="0"/>
        <v/>
      </c>
    </row>
    <row r="83" spans="1:20" ht="17.100000000000001" hidden="1" customHeight="1" thickBot="1" x14ac:dyDescent="0.35">
      <c r="A83" s="689" t="s">
        <v>208</v>
      </c>
      <c r="B83" s="331"/>
      <c r="C83" s="395" t="s">
        <v>165</v>
      </c>
      <c r="D83" s="254">
        <v>921</v>
      </c>
      <c r="E83" s="332" t="s">
        <v>16</v>
      </c>
      <c r="F83" s="216"/>
      <c r="G83" s="217"/>
      <c r="H83" s="217"/>
      <c r="I83" s="217"/>
      <c r="J83" s="217"/>
      <c r="K83" s="217"/>
      <c r="L83" s="214"/>
      <c r="M83" s="218"/>
      <c r="N83" s="242">
        <f t="shared" si="53"/>
        <v>0</v>
      </c>
      <c r="O83" s="272">
        <f t="shared" si="63"/>
        <v>0</v>
      </c>
      <c r="Q83" s="266" t="str">
        <f t="shared" si="64"/>
        <v>NO</v>
      </c>
      <c r="R83" s="605"/>
      <c r="T83" s="583" t="str">
        <f t="shared" si="0"/>
        <v/>
      </c>
    </row>
    <row r="84" spans="1:20" ht="17.100000000000001" hidden="1" customHeight="1" thickBot="1" x14ac:dyDescent="0.35">
      <c r="A84" s="689" t="s">
        <v>208</v>
      </c>
      <c r="B84" s="331"/>
      <c r="C84" s="546" t="s">
        <v>140</v>
      </c>
      <c r="D84" s="254">
        <v>1473</v>
      </c>
      <c r="E84" s="329" t="s">
        <v>16</v>
      </c>
      <c r="F84" s="216"/>
      <c r="G84" s="217"/>
      <c r="H84" s="217"/>
      <c r="I84" s="217"/>
      <c r="J84" s="217"/>
      <c r="K84" s="217"/>
      <c r="L84" s="214"/>
      <c r="M84" s="218"/>
      <c r="N84" s="242">
        <f t="shared" si="53"/>
        <v>0</v>
      </c>
      <c r="O84" s="272">
        <f t="shared" si="63"/>
        <v>0</v>
      </c>
      <c r="Q84" s="266" t="str">
        <f t="shared" si="64"/>
        <v>NO</v>
      </c>
      <c r="R84" s="605" t="str">
        <f t="shared" ref="R84:R91" si="65">IF(Q84="yes","G","")</f>
        <v/>
      </c>
      <c r="T84" s="583" t="str">
        <f t="shared" si="0"/>
        <v/>
      </c>
    </row>
    <row r="85" spans="1:20" ht="17.100000000000001" hidden="1" customHeight="1" thickBot="1" x14ac:dyDescent="0.35">
      <c r="A85" s="689" t="s">
        <v>208</v>
      </c>
      <c r="B85" s="331"/>
      <c r="C85" s="206" t="s">
        <v>76</v>
      </c>
      <c r="D85" s="228">
        <v>1549</v>
      </c>
      <c r="E85" s="329" t="s">
        <v>16</v>
      </c>
      <c r="F85" s="216"/>
      <c r="G85" s="217"/>
      <c r="H85" s="217"/>
      <c r="I85" s="217"/>
      <c r="J85" s="217"/>
      <c r="K85" s="217"/>
      <c r="L85" s="214"/>
      <c r="M85" s="218"/>
      <c r="N85" s="242">
        <f t="shared" si="53"/>
        <v>0</v>
      </c>
      <c r="O85" s="272">
        <f t="shared" si="63"/>
        <v>0</v>
      </c>
      <c r="Q85" s="266" t="str">
        <f t="shared" si="64"/>
        <v>NO</v>
      </c>
      <c r="R85" s="605" t="str">
        <f t="shared" si="65"/>
        <v/>
      </c>
      <c r="T85" s="583" t="str">
        <f t="shared" si="0"/>
        <v/>
      </c>
    </row>
    <row r="86" spans="1:20" ht="17.100000000000001" hidden="1" customHeight="1" thickBot="1" x14ac:dyDescent="0.35">
      <c r="A86" s="689" t="s">
        <v>208</v>
      </c>
      <c r="B86" s="331"/>
      <c r="C86" s="396" t="s">
        <v>136</v>
      </c>
      <c r="D86" s="232">
        <v>1668</v>
      </c>
      <c r="E86" s="329" t="s">
        <v>16</v>
      </c>
      <c r="F86" s="216"/>
      <c r="G86" s="217"/>
      <c r="H86" s="217"/>
      <c r="I86" s="217"/>
      <c r="J86" s="217"/>
      <c r="K86" s="217"/>
      <c r="L86" s="214"/>
      <c r="M86" s="218"/>
      <c r="N86" s="215">
        <f t="shared" si="53"/>
        <v>0</v>
      </c>
      <c r="O86" s="265">
        <f t="shared" si="63"/>
        <v>0</v>
      </c>
      <c r="P86" s="233"/>
      <c r="Q86" s="266" t="str">
        <f t="shared" si="64"/>
        <v>NO</v>
      </c>
      <c r="R86" s="605" t="str">
        <f t="shared" si="65"/>
        <v/>
      </c>
      <c r="T86" s="583" t="str">
        <f t="shared" si="0"/>
        <v/>
      </c>
    </row>
    <row r="87" spans="1:20" ht="17.100000000000001" hidden="1" customHeight="1" thickBot="1" x14ac:dyDescent="0.35">
      <c r="A87" s="689" t="s">
        <v>208</v>
      </c>
      <c r="B87" s="331"/>
      <c r="C87" s="396" t="s">
        <v>218</v>
      </c>
      <c r="D87" s="232">
        <v>1256</v>
      </c>
      <c r="E87" s="329" t="s">
        <v>16</v>
      </c>
      <c r="F87" s="216"/>
      <c r="G87" s="217"/>
      <c r="H87" s="217"/>
      <c r="I87" s="217"/>
      <c r="J87" s="217"/>
      <c r="K87" s="217"/>
      <c r="L87" s="214"/>
      <c r="M87" s="218"/>
      <c r="N87" s="215">
        <f t="shared" si="53"/>
        <v>0</v>
      </c>
      <c r="O87" s="265">
        <f t="shared" si="63"/>
        <v>0</v>
      </c>
      <c r="P87" s="233"/>
      <c r="Q87" s="266" t="str">
        <f t="shared" si="64"/>
        <v>NO</v>
      </c>
      <c r="R87" s="605" t="str">
        <f t="shared" si="65"/>
        <v/>
      </c>
      <c r="T87" s="583" t="str">
        <f t="shared" si="0"/>
        <v/>
      </c>
    </row>
    <row r="88" spans="1:20" ht="17.100000000000001" customHeight="1" thickBot="1" x14ac:dyDescent="0.35">
      <c r="B88" s="329"/>
      <c r="C88" s="396" t="s">
        <v>242</v>
      </c>
      <c r="D88" s="232">
        <v>1661</v>
      </c>
      <c r="E88" s="331" t="s">
        <v>16</v>
      </c>
      <c r="F88" s="248">
        <v>0</v>
      </c>
      <c r="G88" s="249">
        <v>110</v>
      </c>
      <c r="H88" s="249">
        <v>99</v>
      </c>
      <c r="I88" s="249">
        <v>64</v>
      </c>
      <c r="J88" s="249"/>
      <c r="K88" s="249"/>
      <c r="L88" s="1021"/>
      <c r="M88" s="1022"/>
      <c r="N88" s="230">
        <f t="shared" si="53"/>
        <v>273</v>
      </c>
      <c r="O88" s="300">
        <f t="shared" si="63"/>
        <v>30</v>
      </c>
      <c r="P88" s="301"/>
      <c r="Q88" s="276" t="str">
        <f t="shared" si="64"/>
        <v>NO</v>
      </c>
      <c r="R88" s="604" t="str">
        <f t="shared" si="65"/>
        <v/>
      </c>
      <c r="T88" s="583"/>
    </row>
    <row r="89" spans="1:20" ht="17.100000000000001" customHeight="1" thickBot="1" x14ac:dyDescent="0.35">
      <c r="B89" s="329"/>
      <c r="C89" s="396" t="s">
        <v>378</v>
      </c>
      <c r="D89" s="232">
        <v>2786</v>
      </c>
      <c r="E89" s="331" t="s">
        <v>16</v>
      </c>
      <c r="F89" s="252">
        <v>40</v>
      </c>
      <c r="G89" s="253">
        <v>110</v>
      </c>
      <c r="H89" s="253">
        <v>81</v>
      </c>
      <c r="I89" s="253">
        <v>32</v>
      </c>
      <c r="J89" s="253"/>
      <c r="K89" s="253"/>
      <c r="L89" s="270"/>
      <c r="M89" s="271">
        <v>2</v>
      </c>
      <c r="N89" s="230">
        <f t="shared" si="53"/>
        <v>263</v>
      </c>
      <c r="O89" s="300">
        <f t="shared" si="63"/>
        <v>30</v>
      </c>
      <c r="P89" s="301"/>
      <c r="Q89" s="276" t="str">
        <f t="shared" si="64"/>
        <v>NO</v>
      </c>
      <c r="R89" s="604" t="str">
        <f t="shared" si="65"/>
        <v/>
      </c>
      <c r="T89" s="583"/>
    </row>
    <row r="90" spans="1:20" ht="17.100000000000001" customHeight="1" thickBot="1" x14ac:dyDescent="0.35">
      <c r="B90" s="329" t="s">
        <v>258</v>
      </c>
      <c r="C90" s="396" t="s">
        <v>196</v>
      </c>
      <c r="D90" s="232">
        <v>1291</v>
      </c>
      <c r="E90" s="331" t="s">
        <v>16</v>
      </c>
      <c r="F90" s="252">
        <v>10</v>
      </c>
      <c r="G90" s="253">
        <v>70</v>
      </c>
      <c r="H90" s="253">
        <v>81</v>
      </c>
      <c r="I90" s="253">
        <v>64</v>
      </c>
      <c r="J90" s="253">
        <v>35</v>
      </c>
      <c r="K90" s="253"/>
      <c r="L90" s="270"/>
      <c r="M90" s="271"/>
      <c r="N90" s="230">
        <f t="shared" si="53"/>
        <v>260</v>
      </c>
      <c r="O90" s="300">
        <f t="shared" si="63"/>
        <v>30</v>
      </c>
      <c r="P90" s="301"/>
      <c r="Q90" s="276" t="str">
        <f t="shared" si="64"/>
        <v>NO</v>
      </c>
      <c r="R90" s="604" t="str">
        <f t="shared" si="65"/>
        <v/>
      </c>
      <c r="T90" s="583"/>
    </row>
    <row r="91" spans="1:20" ht="17.100000000000001" customHeight="1" thickBot="1" x14ac:dyDescent="0.35">
      <c r="A91" s="689" t="s">
        <v>208</v>
      </c>
      <c r="B91" s="324"/>
      <c r="C91" s="398" t="s">
        <v>225</v>
      </c>
      <c r="D91" s="241">
        <v>1268</v>
      </c>
      <c r="E91" s="1018" t="s">
        <v>16</v>
      </c>
      <c r="F91" s="274">
        <v>10</v>
      </c>
      <c r="G91" s="236">
        <v>80</v>
      </c>
      <c r="H91" s="236">
        <v>108</v>
      </c>
      <c r="I91" s="236">
        <v>40</v>
      </c>
      <c r="J91" s="236"/>
      <c r="K91" s="236"/>
      <c r="L91" s="237"/>
      <c r="M91" s="1067">
        <v>4</v>
      </c>
      <c r="N91" s="549">
        <f t="shared" si="53"/>
        <v>238</v>
      </c>
      <c r="O91" s="550">
        <f t="shared" si="63"/>
        <v>30</v>
      </c>
      <c r="P91" s="548"/>
      <c r="Q91" s="1019" t="str">
        <f t="shared" si="64"/>
        <v>NO</v>
      </c>
      <c r="R91" s="1020" t="str">
        <f t="shared" si="65"/>
        <v/>
      </c>
      <c r="T91" s="583" t="str">
        <f t="shared" si="0"/>
        <v/>
      </c>
    </row>
    <row r="92" spans="1:20" ht="17.100000000000001" hidden="1" customHeight="1" thickBot="1" x14ac:dyDescent="0.35">
      <c r="A92" s="689" t="s">
        <v>208</v>
      </c>
      <c r="B92" s="332"/>
      <c r="E92" s="325" t="s">
        <v>16</v>
      </c>
      <c r="F92" s="252"/>
      <c r="G92" s="253"/>
      <c r="H92" s="253"/>
      <c r="I92" s="253"/>
      <c r="J92" s="253"/>
      <c r="K92" s="253"/>
      <c r="L92" s="270"/>
      <c r="M92" s="271"/>
      <c r="N92" s="242">
        <f t="shared" ref="N92:N94" si="66">SUM($F92:$L92)</f>
        <v>0</v>
      </c>
      <c r="O92" s="272">
        <f t="shared" ref="O92" si="67">(F92/10)+(G92/10)+(H92/9)+(I92/8)+(J92/7)+(K92/6)+(L92/5)+M92</f>
        <v>0</v>
      </c>
      <c r="P92" s="534"/>
      <c r="Q92" s="263" t="str">
        <f t="shared" ref="Q92:Q94" si="68">IF(N92&gt;289,"Yes","NO")</f>
        <v>NO</v>
      </c>
      <c r="R92" s="603" t="str">
        <f t="shared" ref="R92:R94" si="69">IF(Q92="yes","G","")</f>
        <v/>
      </c>
      <c r="T92" s="583" t="str">
        <f t="shared" si="0"/>
        <v/>
      </c>
    </row>
    <row r="93" spans="1:20" ht="17.100000000000001" hidden="1" customHeight="1" thickBot="1" x14ac:dyDescent="0.35">
      <c r="A93" s="689" t="s">
        <v>208</v>
      </c>
      <c r="B93" s="331"/>
      <c r="C93" s="395" t="s">
        <v>172</v>
      </c>
      <c r="D93" s="27">
        <v>1628</v>
      </c>
      <c r="E93" s="331" t="s">
        <v>16</v>
      </c>
      <c r="F93" s="216"/>
      <c r="G93" s="217"/>
      <c r="H93" s="217"/>
      <c r="I93" s="217"/>
      <c r="J93" s="217"/>
      <c r="K93" s="217"/>
      <c r="L93" s="214"/>
      <c r="M93" s="218"/>
      <c r="N93" s="230">
        <f t="shared" si="66"/>
        <v>0</v>
      </c>
      <c r="O93" s="300">
        <f t="shared" ref="O93" si="70">(F93/10)+(G93/10)+(H93/9)+(I93/8)+(J93/7)+(K93/6)+(L93/5)+M93</f>
        <v>0</v>
      </c>
      <c r="P93" s="301"/>
      <c r="Q93" s="276" t="str">
        <f t="shared" ref="Q93" si="71">IF(N93&gt;289,"Yes","NO")</f>
        <v>NO</v>
      </c>
      <c r="R93" s="604" t="str">
        <f t="shared" ref="R93" si="72">IF(Q93="yes","G","")</f>
        <v/>
      </c>
      <c r="T93" s="583" t="str">
        <f t="shared" ref="T93:T116" si="73">IF(O93=0,"",IF(O93=30,"","Shot count Error"))</f>
        <v/>
      </c>
    </row>
    <row r="94" spans="1:20" ht="17.100000000000001" hidden="1" customHeight="1" thickBot="1" x14ac:dyDescent="0.35">
      <c r="A94" s="689" t="s">
        <v>208</v>
      </c>
      <c r="B94" s="329"/>
      <c r="C94" s="396" t="s">
        <v>177</v>
      </c>
      <c r="D94" s="232">
        <v>1412</v>
      </c>
      <c r="E94" s="329" t="s">
        <v>16</v>
      </c>
      <c r="F94" s="216"/>
      <c r="G94" s="217"/>
      <c r="H94" s="217"/>
      <c r="I94" s="217"/>
      <c r="J94" s="217"/>
      <c r="K94" s="217"/>
      <c r="L94" s="214"/>
      <c r="M94" s="218"/>
      <c r="N94" s="226">
        <f t="shared" si="66"/>
        <v>0</v>
      </c>
      <c r="O94" s="261">
        <f t="shared" si="45"/>
        <v>0</v>
      </c>
      <c r="Q94" s="273" t="str">
        <f t="shared" si="68"/>
        <v>NO</v>
      </c>
      <c r="R94" s="609" t="str">
        <f t="shared" si="69"/>
        <v/>
      </c>
      <c r="T94" s="583" t="str">
        <f t="shared" si="73"/>
        <v/>
      </c>
    </row>
    <row r="95" spans="1:20" ht="17.100000000000001" customHeight="1" thickBot="1" x14ac:dyDescent="0.35">
      <c r="A95" s="689" t="s">
        <v>208</v>
      </c>
      <c r="B95" s="323" t="s">
        <v>312</v>
      </c>
      <c r="C95" s="394" t="s">
        <v>313</v>
      </c>
      <c r="D95" s="225">
        <v>1143</v>
      </c>
      <c r="E95" s="323" t="s">
        <v>17</v>
      </c>
      <c r="F95" s="222">
        <v>30</v>
      </c>
      <c r="G95" s="223">
        <v>80</v>
      </c>
      <c r="H95" s="223">
        <v>117</v>
      </c>
      <c r="I95" s="223">
        <v>48</v>
      </c>
      <c r="J95" s="223"/>
      <c r="K95" s="223"/>
      <c r="L95" s="221"/>
      <c r="M95" s="211"/>
      <c r="N95" s="208">
        <f t="shared" ref="N95:N116" si="74">SUM($F95:$L95)</f>
        <v>275</v>
      </c>
      <c r="O95" s="260">
        <f t="shared" ref="O95:O116" si="75">(F95/10)+(G95/10)+(H95/9)+(I95/8)+(J95/7)+(K95/6)+(L95/5)+M95</f>
        <v>30</v>
      </c>
      <c r="P95" s="295"/>
      <c r="Q95" s="1034" t="str">
        <f t="shared" ref="Q95:Q116" si="76">IF(N95&gt;279,"Yes","NO")</f>
        <v>NO</v>
      </c>
      <c r="R95" s="608" t="str">
        <f t="shared" ref="R95:R116" si="77">IF(Q95="yes","S","")</f>
        <v/>
      </c>
      <c r="T95" s="583" t="str">
        <f t="shared" si="73"/>
        <v/>
      </c>
    </row>
    <row r="96" spans="1:20" ht="17.100000000000001" customHeight="1" thickBot="1" x14ac:dyDescent="0.35">
      <c r="A96" s="689" t="s">
        <v>208</v>
      </c>
      <c r="B96" s="331" t="s">
        <v>257</v>
      </c>
      <c r="C96" s="546" t="s">
        <v>219</v>
      </c>
      <c r="D96" s="254">
        <v>1982</v>
      </c>
      <c r="E96" s="325" t="s">
        <v>17</v>
      </c>
      <c r="F96" s="216">
        <v>30</v>
      </c>
      <c r="G96" s="217">
        <v>80</v>
      </c>
      <c r="H96" s="217">
        <v>108</v>
      </c>
      <c r="I96" s="217">
        <v>32</v>
      </c>
      <c r="J96" s="217">
        <v>14</v>
      </c>
      <c r="K96" s="217">
        <v>6</v>
      </c>
      <c r="L96" s="214"/>
      <c r="M96" s="218"/>
      <c r="N96" s="242">
        <f t="shared" si="74"/>
        <v>270</v>
      </c>
      <c r="O96" s="272">
        <f t="shared" si="75"/>
        <v>30</v>
      </c>
      <c r="Q96" s="276" t="str">
        <f t="shared" si="76"/>
        <v>NO</v>
      </c>
      <c r="R96" s="604" t="str">
        <f t="shared" si="77"/>
        <v/>
      </c>
      <c r="T96" s="583" t="str">
        <f t="shared" si="73"/>
        <v/>
      </c>
    </row>
    <row r="97" spans="1:20" ht="17.100000000000001" customHeight="1" thickBot="1" x14ac:dyDescent="0.35">
      <c r="B97" s="332"/>
      <c r="C97" s="206" t="s">
        <v>369</v>
      </c>
      <c r="D97" s="228">
        <v>1624</v>
      </c>
      <c r="E97" s="332" t="s">
        <v>17</v>
      </c>
      <c r="F97" s="216">
        <v>20</v>
      </c>
      <c r="G97" s="217">
        <v>50</v>
      </c>
      <c r="H97" s="217">
        <v>144</v>
      </c>
      <c r="I97" s="217">
        <v>24</v>
      </c>
      <c r="J97" s="217">
        <v>21</v>
      </c>
      <c r="K97" s="217"/>
      <c r="L97" s="214"/>
      <c r="M97" s="218">
        <v>1</v>
      </c>
      <c r="N97" s="242">
        <f t="shared" si="74"/>
        <v>259</v>
      </c>
      <c r="O97" s="272">
        <f t="shared" si="75"/>
        <v>30</v>
      </c>
      <c r="Q97" s="276" t="str">
        <f t="shared" si="76"/>
        <v>NO</v>
      </c>
      <c r="R97" s="604" t="str">
        <f t="shared" si="77"/>
        <v/>
      </c>
      <c r="T97" s="583" t="str">
        <f t="shared" si="73"/>
        <v/>
      </c>
    </row>
    <row r="98" spans="1:20" ht="17.100000000000001" customHeight="1" thickBot="1" x14ac:dyDescent="0.35">
      <c r="A98" s="689" t="s">
        <v>208</v>
      </c>
      <c r="B98" s="331" t="s">
        <v>262</v>
      </c>
      <c r="C98" s="546" t="s">
        <v>146</v>
      </c>
      <c r="D98" s="254">
        <v>1615</v>
      </c>
      <c r="E98" s="331" t="s">
        <v>17</v>
      </c>
      <c r="F98" s="216">
        <v>20</v>
      </c>
      <c r="G98" s="217">
        <v>50</v>
      </c>
      <c r="H98" s="217">
        <v>90</v>
      </c>
      <c r="I98" s="217">
        <v>80</v>
      </c>
      <c r="J98" s="217">
        <v>7</v>
      </c>
      <c r="K98" s="217"/>
      <c r="L98" s="214"/>
      <c r="M98" s="218">
        <v>2</v>
      </c>
      <c r="N98" s="242">
        <f t="shared" si="74"/>
        <v>247</v>
      </c>
      <c r="O98" s="272">
        <f t="shared" si="75"/>
        <v>30</v>
      </c>
      <c r="Q98" s="276" t="str">
        <f t="shared" si="76"/>
        <v>NO</v>
      </c>
      <c r="R98" s="604" t="str">
        <f t="shared" si="77"/>
        <v/>
      </c>
      <c r="T98" s="583" t="str">
        <f t="shared" si="73"/>
        <v/>
      </c>
    </row>
    <row r="99" spans="1:20" ht="17.100000000000001" customHeight="1" thickBot="1" x14ac:dyDescent="0.35">
      <c r="A99" s="689" t="s">
        <v>208</v>
      </c>
      <c r="B99" s="331"/>
      <c r="C99" s="546" t="s">
        <v>195</v>
      </c>
      <c r="D99" s="254">
        <v>2454</v>
      </c>
      <c r="E99" s="331" t="s">
        <v>17</v>
      </c>
      <c r="F99" s="216">
        <v>10</v>
      </c>
      <c r="G99" s="217">
        <v>30</v>
      </c>
      <c r="H99" s="217">
        <v>108</v>
      </c>
      <c r="I99" s="217">
        <v>64</v>
      </c>
      <c r="J99" s="217">
        <v>28</v>
      </c>
      <c r="K99" s="217"/>
      <c r="L99" s="214"/>
      <c r="M99" s="218">
        <v>2</v>
      </c>
      <c r="N99" s="242">
        <f t="shared" si="74"/>
        <v>240</v>
      </c>
      <c r="O99" s="272">
        <f t="shared" si="75"/>
        <v>30</v>
      </c>
      <c r="Q99" s="276" t="str">
        <f t="shared" si="76"/>
        <v>NO</v>
      </c>
      <c r="R99" s="604" t="str">
        <f t="shared" si="77"/>
        <v/>
      </c>
      <c r="T99" s="583" t="str">
        <f t="shared" si="73"/>
        <v/>
      </c>
    </row>
    <row r="100" spans="1:20" ht="17.100000000000001" customHeight="1" thickBot="1" x14ac:dyDescent="0.35">
      <c r="B100" s="331"/>
      <c r="C100" s="546" t="s">
        <v>334</v>
      </c>
      <c r="D100" s="254">
        <v>1858</v>
      </c>
      <c r="E100" s="331" t="s">
        <v>17</v>
      </c>
      <c r="F100" s="216">
        <v>20</v>
      </c>
      <c r="G100" s="217">
        <v>40</v>
      </c>
      <c r="H100" s="217">
        <v>72</v>
      </c>
      <c r="I100" s="217">
        <v>40</v>
      </c>
      <c r="J100" s="217">
        <v>49</v>
      </c>
      <c r="K100" s="217">
        <v>18</v>
      </c>
      <c r="L100" s="214"/>
      <c r="M100" s="218">
        <v>1</v>
      </c>
      <c r="N100" s="242">
        <f t="shared" si="74"/>
        <v>239</v>
      </c>
      <c r="O100" s="272">
        <f t="shared" si="75"/>
        <v>30</v>
      </c>
      <c r="Q100" s="1042" t="str">
        <f t="shared" si="76"/>
        <v>NO</v>
      </c>
      <c r="R100" s="604" t="str">
        <f t="shared" si="77"/>
        <v/>
      </c>
      <c r="T100" s="583"/>
    </row>
    <row r="101" spans="1:20" ht="17.100000000000001" customHeight="1" thickBot="1" x14ac:dyDescent="0.35">
      <c r="B101" s="331" t="s">
        <v>331</v>
      </c>
      <c r="C101" s="546" t="s">
        <v>161</v>
      </c>
      <c r="D101" s="254">
        <v>1629</v>
      </c>
      <c r="E101" s="325" t="s">
        <v>17</v>
      </c>
      <c r="F101" s="216">
        <v>30</v>
      </c>
      <c r="G101" s="217">
        <v>20</v>
      </c>
      <c r="H101" s="217">
        <v>81</v>
      </c>
      <c r="I101" s="217">
        <v>32</v>
      </c>
      <c r="J101" s="217">
        <v>56</v>
      </c>
      <c r="K101" s="217">
        <v>18</v>
      </c>
      <c r="L101" s="214"/>
      <c r="M101" s="218">
        <v>1</v>
      </c>
      <c r="N101" s="242">
        <f t="shared" si="74"/>
        <v>237</v>
      </c>
      <c r="O101" s="272">
        <f t="shared" si="75"/>
        <v>30</v>
      </c>
      <c r="Q101" s="276" t="str">
        <f t="shared" si="76"/>
        <v>NO</v>
      </c>
      <c r="R101" s="604" t="str">
        <f t="shared" si="77"/>
        <v/>
      </c>
      <c r="T101" s="583" t="str">
        <f t="shared" ref="T101" si="78">IF(O101=0,"",IF(O101=30,"","Shot count Error"))</f>
        <v/>
      </c>
    </row>
    <row r="102" spans="1:20" ht="17.100000000000001" customHeight="1" thickBot="1" x14ac:dyDescent="0.35">
      <c r="A102" s="689" t="s">
        <v>208</v>
      </c>
      <c r="B102" s="331" t="s">
        <v>230</v>
      </c>
      <c r="C102" s="546" t="s">
        <v>181</v>
      </c>
      <c r="D102" s="254">
        <v>2580</v>
      </c>
      <c r="E102" s="325" t="s">
        <v>17</v>
      </c>
      <c r="F102" s="216">
        <v>0</v>
      </c>
      <c r="G102" s="217">
        <v>20</v>
      </c>
      <c r="H102" s="217">
        <v>72</v>
      </c>
      <c r="I102" s="217">
        <v>72</v>
      </c>
      <c r="J102" s="217">
        <v>28</v>
      </c>
      <c r="K102" s="217">
        <v>30</v>
      </c>
      <c r="L102" s="214"/>
      <c r="M102" s="218">
        <v>2</v>
      </c>
      <c r="N102" s="242">
        <f t="shared" si="74"/>
        <v>222</v>
      </c>
      <c r="O102" s="272">
        <f t="shared" si="75"/>
        <v>30</v>
      </c>
      <c r="Q102" s="276" t="str">
        <f t="shared" si="76"/>
        <v>NO</v>
      </c>
      <c r="R102" s="604" t="str">
        <f t="shared" si="77"/>
        <v/>
      </c>
      <c r="T102" s="583" t="str">
        <f t="shared" si="73"/>
        <v/>
      </c>
    </row>
    <row r="103" spans="1:20" ht="17.100000000000001" customHeight="1" thickBot="1" x14ac:dyDescent="0.35">
      <c r="A103" s="689" t="s">
        <v>208</v>
      </c>
      <c r="B103" s="331" t="s">
        <v>281</v>
      </c>
      <c r="C103" s="546" t="s">
        <v>301</v>
      </c>
      <c r="D103" s="254">
        <v>1207</v>
      </c>
      <c r="E103" s="329" t="s">
        <v>17</v>
      </c>
      <c r="F103" s="216">
        <v>10</v>
      </c>
      <c r="G103" s="217">
        <v>0</v>
      </c>
      <c r="H103" s="217">
        <v>54</v>
      </c>
      <c r="I103" s="217">
        <v>56</v>
      </c>
      <c r="J103" s="217">
        <v>56</v>
      </c>
      <c r="K103" s="217">
        <v>12</v>
      </c>
      <c r="L103" s="214">
        <v>5</v>
      </c>
      <c r="M103" s="218">
        <v>5</v>
      </c>
      <c r="N103" s="242">
        <f t="shared" si="74"/>
        <v>193</v>
      </c>
      <c r="O103" s="272">
        <f t="shared" si="75"/>
        <v>30</v>
      </c>
      <c r="Q103" s="276" t="str">
        <f t="shared" si="76"/>
        <v>NO</v>
      </c>
      <c r="R103" s="604" t="str">
        <f t="shared" si="77"/>
        <v/>
      </c>
      <c r="T103" s="583" t="str">
        <f t="shared" si="73"/>
        <v/>
      </c>
    </row>
    <row r="104" spans="1:20" ht="17.100000000000001" hidden="1" customHeight="1" thickBot="1" x14ac:dyDescent="0.35">
      <c r="A104" s="689" t="s">
        <v>208</v>
      </c>
      <c r="B104" s="331"/>
      <c r="C104" s="206" t="s">
        <v>167</v>
      </c>
      <c r="D104" s="228">
        <v>1821</v>
      </c>
      <c r="E104" s="329" t="s">
        <v>17</v>
      </c>
      <c r="F104" s="216"/>
      <c r="G104" s="217"/>
      <c r="H104" s="217"/>
      <c r="I104" s="217"/>
      <c r="J104" s="217"/>
      <c r="K104" s="217"/>
      <c r="L104" s="214"/>
      <c r="M104" s="218"/>
      <c r="N104" s="242">
        <f t="shared" si="74"/>
        <v>0</v>
      </c>
      <c r="O104" s="272">
        <f t="shared" si="75"/>
        <v>0</v>
      </c>
      <c r="Q104" s="276" t="str">
        <f t="shared" si="76"/>
        <v>NO</v>
      </c>
      <c r="R104" s="604" t="str">
        <f t="shared" si="77"/>
        <v/>
      </c>
      <c r="T104" s="583" t="str">
        <f t="shared" si="73"/>
        <v/>
      </c>
    </row>
    <row r="105" spans="1:20" ht="17.100000000000001" hidden="1" customHeight="1" thickBot="1" x14ac:dyDescent="0.35">
      <c r="A105" s="689" t="s">
        <v>208</v>
      </c>
      <c r="B105" s="331"/>
      <c r="C105" s="396" t="s">
        <v>217</v>
      </c>
      <c r="D105" s="232">
        <v>1624</v>
      </c>
      <c r="E105" s="329" t="s">
        <v>17</v>
      </c>
      <c r="F105" s="216"/>
      <c r="G105" s="217"/>
      <c r="H105" s="217"/>
      <c r="I105" s="217"/>
      <c r="J105" s="217"/>
      <c r="K105" s="217"/>
      <c r="L105" s="214"/>
      <c r="M105" s="218"/>
      <c r="N105" s="242">
        <f t="shared" si="74"/>
        <v>0</v>
      </c>
      <c r="O105" s="272">
        <f t="shared" si="75"/>
        <v>0</v>
      </c>
      <c r="Q105" s="276" t="str">
        <f t="shared" si="76"/>
        <v>NO</v>
      </c>
      <c r="R105" s="604" t="str">
        <f t="shared" si="77"/>
        <v/>
      </c>
      <c r="T105" s="583" t="str">
        <f t="shared" si="73"/>
        <v/>
      </c>
    </row>
    <row r="106" spans="1:20" ht="17.100000000000001" hidden="1" customHeight="1" thickBot="1" x14ac:dyDescent="0.35">
      <c r="A106" s="689" t="s">
        <v>208</v>
      </c>
      <c r="B106" s="331"/>
      <c r="C106" s="546" t="s">
        <v>190</v>
      </c>
      <c r="D106" s="69">
        <v>1957</v>
      </c>
      <c r="E106" s="329" t="s">
        <v>17</v>
      </c>
      <c r="F106" s="216"/>
      <c r="G106" s="217"/>
      <c r="H106" s="217"/>
      <c r="I106" s="217"/>
      <c r="J106" s="217"/>
      <c r="K106" s="217"/>
      <c r="L106" s="214"/>
      <c r="M106" s="218"/>
      <c r="N106" s="242">
        <f t="shared" si="74"/>
        <v>0</v>
      </c>
      <c r="O106" s="272">
        <f t="shared" si="75"/>
        <v>0</v>
      </c>
      <c r="Q106" s="276" t="str">
        <f t="shared" si="76"/>
        <v>NO</v>
      </c>
      <c r="R106" s="604" t="str">
        <f t="shared" si="77"/>
        <v/>
      </c>
      <c r="T106" s="583" t="str">
        <f t="shared" si="73"/>
        <v/>
      </c>
    </row>
    <row r="107" spans="1:20" ht="17.100000000000001" hidden="1" customHeight="1" thickBot="1" x14ac:dyDescent="0.35">
      <c r="A107" s="689" t="s">
        <v>208</v>
      </c>
      <c r="B107" s="331"/>
      <c r="C107" s="546" t="s">
        <v>142</v>
      </c>
      <c r="D107" s="254">
        <v>380</v>
      </c>
      <c r="E107" s="331" t="s">
        <v>17</v>
      </c>
      <c r="F107" s="216"/>
      <c r="G107" s="217"/>
      <c r="H107" s="217"/>
      <c r="I107" s="217"/>
      <c r="J107" s="217"/>
      <c r="K107" s="217"/>
      <c r="L107" s="214"/>
      <c r="M107" s="218"/>
      <c r="N107" s="230">
        <f t="shared" si="74"/>
        <v>0</v>
      </c>
      <c r="O107" s="300">
        <f t="shared" si="75"/>
        <v>0</v>
      </c>
      <c r="P107" s="301"/>
      <c r="Q107" s="545" t="str">
        <f t="shared" si="76"/>
        <v>NO</v>
      </c>
      <c r="R107" s="604" t="str">
        <f t="shared" si="77"/>
        <v/>
      </c>
      <c r="T107" s="583" t="str">
        <f t="shared" si="73"/>
        <v/>
      </c>
    </row>
    <row r="108" spans="1:20" ht="17.100000000000001" hidden="1" customHeight="1" thickBot="1" x14ac:dyDescent="0.35">
      <c r="A108" s="689" t="s">
        <v>208</v>
      </c>
      <c r="B108" s="331"/>
      <c r="C108" s="396" t="s">
        <v>133</v>
      </c>
      <c r="D108" s="232">
        <v>1726</v>
      </c>
      <c r="E108" s="331" t="s">
        <v>17</v>
      </c>
      <c r="F108" s="216"/>
      <c r="G108" s="217"/>
      <c r="H108" s="217"/>
      <c r="I108" s="217"/>
      <c r="J108" s="217"/>
      <c r="K108" s="217"/>
      <c r="L108" s="214"/>
      <c r="M108" s="218"/>
      <c r="N108" s="230">
        <f t="shared" si="74"/>
        <v>0</v>
      </c>
      <c r="O108" s="300">
        <f t="shared" si="75"/>
        <v>0</v>
      </c>
      <c r="P108" s="301"/>
      <c r="Q108" s="545" t="str">
        <f t="shared" si="76"/>
        <v>NO</v>
      </c>
      <c r="R108" s="604" t="str">
        <f t="shared" si="77"/>
        <v/>
      </c>
      <c r="T108" s="583" t="str">
        <f t="shared" si="73"/>
        <v/>
      </c>
    </row>
    <row r="109" spans="1:20" ht="17.100000000000001" hidden="1" customHeight="1" thickBot="1" x14ac:dyDescent="0.35">
      <c r="A109" s="689" t="s">
        <v>208</v>
      </c>
      <c r="B109" s="331"/>
      <c r="C109" s="396" t="s">
        <v>171</v>
      </c>
      <c r="D109" s="232">
        <v>1901</v>
      </c>
      <c r="E109" s="331" t="s">
        <v>17</v>
      </c>
      <c r="F109" s="216"/>
      <c r="G109" s="217"/>
      <c r="H109" s="217"/>
      <c r="I109" s="217"/>
      <c r="J109" s="217"/>
      <c r="K109" s="217"/>
      <c r="L109" s="214"/>
      <c r="M109" s="218"/>
      <c r="N109" s="230">
        <f t="shared" si="74"/>
        <v>0</v>
      </c>
      <c r="O109" s="300">
        <f t="shared" si="75"/>
        <v>0</v>
      </c>
      <c r="P109" s="301"/>
      <c r="Q109" s="545" t="str">
        <f t="shared" si="76"/>
        <v>NO</v>
      </c>
      <c r="R109" s="604" t="str">
        <f t="shared" si="77"/>
        <v/>
      </c>
      <c r="T109" s="583" t="str">
        <f t="shared" si="73"/>
        <v/>
      </c>
    </row>
    <row r="110" spans="1:20" ht="17.100000000000001" hidden="1" customHeight="1" thickBot="1" x14ac:dyDescent="0.35">
      <c r="A110" s="689" t="s">
        <v>208</v>
      </c>
      <c r="B110" s="331"/>
      <c r="C110" s="546" t="s">
        <v>180</v>
      </c>
      <c r="D110" s="44">
        <v>2578</v>
      </c>
      <c r="E110" s="331" t="s">
        <v>17</v>
      </c>
      <c r="F110" s="216"/>
      <c r="G110" s="217"/>
      <c r="H110" s="217"/>
      <c r="I110" s="217"/>
      <c r="J110" s="217"/>
      <c r="K110" s="217"/>
      <c r="L110" s="214"/>
      <c r="M110" s="218"/>
      <c r="N110" s="230">
        <f t="shared" si="74"/>
        <v>0</v>
      </c>
      <c r="O110" s="300">
        <f t="shared" si="75"/>
        <v>0</v>
      </c>
      <c r="P110" s="301"/>
      <c r="Q110" s="545" t="str">
        <f t="shared" si="76"/>
        <v>NO</v>
      </c>
      <c r="R110" s="604" t="str">
        <f t="shared" si="77"/>
        <v/>
      </c>
      <c r="T110" s="583" t="str">
        <f t="shared" si="73"/>
        <v/>
      </c>
    </row>
    <row r="111" spans="1:20" ht="17.100000000000001" hidden="1" customHeight="1" thickBot="1" x14ac:dyDescent="0.35">
      <c r="A111" s="689" t="s">
        <v>208</v>
      </c>
      <c r="B111" s="331"/>
      <c r="C111" s="546" t="s">
        <v>223</v>
      </c>
      <c r="D111" s="232">
        <v>2361</v>
      </c>
      <c r="E111" s="331" t="s">
        <v>17</v>
      </c>
      <c r="F111" s="216"/>
      <c r="G111" s="217"/>
      <c r="H111" s="217"/>
      <c r="I111" s="217"/>
      <c r="J111" s="217"/>
      <c r="K111" s="217"/>
      <c r="L111" s="214"/>
      <c r="M111" s="218"/>
      <c r="N111" s="230">
        <f t="shared" si="74"/>
        <v>0</v>
      </c>
      <c r="O111" s="300">
        <f t="shared" si="75"/>
        <v>0</v>
      </c>
      <c r="P111" s="301"/>
      <c r="Q111" s="545" t="str">
        <f t="shared" si="76"/>
        <v>NO</v>
      </c>
      <c r="R111" s="604" t="str">
        <f t="shared" si="77"/>
        <v/>
      </c>
      <c r="T111" s="583" t="str">
        <f t="shared" si="73"/>
        <v/>
      </c>
    </row>
    <row r="112" spans="1:20" ht="17.100000000000001" hidden="1" customHeight="1" thickBot="1" x14ac:dyDescent="0.35">
      <c r="A112" s="689" t="s">
        <v>208</v>
      </c>
      <c r="B112" s="331"/>
      <c r="C112" s="546" t="s">
        <v>195</v>
      </c>
      <c r="D112" s="232">
        <v>2454</v>
      </c>
      <c r="E112" s="331" t="s">
        <v>17</v>
      </c>
      <c r="F112" s="216"/>
      <c r="G112" s="217"/>
      <c r="H112" s="217"/>
      <c r="I112" s="217"/>
      <c r="J112" s="217"/>
      <c r="K112" s="217"/>
      <c r="L112" s="214"/>
      <c r="M112" s="218"/>
      <c r="N112" s="230">
        <f t="shared" si="74"/>
        <v>0</v>
      </c>
      <c r="O112" s="300">
        <f t="shared" si="75"/>
        <v>0</v>
      </c>
      <c r="P112" s="301"/>
      <c r="Q112" s="545" t="str">
        <f t="shared" si="76"/>
        <v>NO</v>
      </c>
      <c r="R112" s="604" t="str">
        <f t="shared" si="77"/>
        <v/>
      </c>
      <c r="T112" s="583" t="str">
        <f t="shared" si="73"/>
        <v/>
      </c>
    </row>
    <row r="113" spans="1:20" ht="17.100000000000001" customHeight="1" thickBot="1" x14ac:dyDescent="0.35">
      <c r="B113" s="331" t="s">
        <v>277</v>
      </c>
      <c r="C113" s="546" t="s">
        <v>221</v>
      </c>
      <c r="D113" s="232">
        <v>1984</v>
      </c>
      <c r="E113" s="331" t="s">
        <v>17</v>
      </c>
      <c r="F113" s="216">
        <v>0</v>
      </c>
      <c r="G113" s="217">
        <v>10</v>
      </c>
      <c r="H113" s="217">
        <v>54</v>
      </c>
      <c r="I113" s="217">
        <v>48</v>
      </c>
      <c r="J113" s="217">
        <v>7</v>
      </c>
      <c r="K113" s="217">
        <v>60</v>
      </c>
      <c r="L113" s="214"/>
      <c r="M113" s="218">
        <v>6</v>
      </c>
      <c r="N113" s="230">
        <f t="shared" si="74"/>
        <v>179</v>
      </c>
      <c r="O113" s="300">
        <f t="shared" ref="O113" si="79">(F113/10)+(G113/10)+(H113/9)+(I113/8)+(J113/7)+(K113/6)+(L113/5)+M113</f>
        <v>30</v>
      </c>
      <c r="P113" s="301"/>
      <c r="Q113" s="543" t="str">
        <f t="shared" ref="Q113" si="80">IF(N113&gt;279,"Yes","NO")</f>
        <v>NO</v>
      </c>
      <c r="R113" s="604" t="str">
        <f t="shared" ref="R113" si="81">IF(Q113="yes","S","")</f>
        <v/>
      </c>
      <c r="T113" s="583"/>
    </row>
    <row r="114" spans="1:20" ht="17.100000000000001" customHeight="1" thickBot="1" x14ac:dyDescent="0.35">
      <c r="A114" s="689" t="s">
        <v>208</v>
      </c>
      <c r="B114" s="331" t="s">
        <v>164</v>
      </c>
      <c r="C114" s="653" t="s">
        <v>141</v>
      </c>
      <c r="D114" s="301">
        <v>168</v>
      </c>
      <c r="E114" s="331" t="s">
        <v>17</v>
      </c>
      <c r="F114" s="216">
        <v>10</v>
      </c>
      <c r="G114" s="217">
        <v>10</v>
      </c>
      <c r="H114" s="217">
        <v>63</v>
      </c>
      <c r="I114" s="217">
        <v>32</v>
      </c>
      <c r="J114" s="217">
        <v>21</v>
      </c>
      <c r="K114" s="217">
        <v>42</v>
      </c>
      <c r="L114" s="214"/>
      <c r="M114" s="218">
        <v>7</v>
      </c>
      <c r="N114" s="230">
        <f t="shared" si="74"/>
        <v>178</v>
      </c>
      <c r="O114" s="300">
        <f t="shared" si="75"/>
        <v>30</v>
      </c>
      <c r="P114" s="301"/>
      <c r="Q114" s="543" t="str">
        <f t="shared" si="76"/>
        <v>NO</v>
      </c>
      <c r="R114" s="604" t="str">
        <f t="shared" si="77"/>
        <v/>
      </c>
      <c r="T114" s="583" t="str">
        <f t="shared" si="73"/>
        <v/>
      </c>
    </row>
    <row r="115" spans="1:20" ht="17.100000000000001" customHeight="1" thickBot="1" x14ac:dyDescent="0.35">
      <c r="A115" s="689" t="s">
        <v>208</v>
      </c>
      <c r="B115" s="331" t="s">
        <v>252</v>
      </c>
      <c r="C115" s="546" t="s">
        <v>220</v>
      </c>
      <c r="D115" s="44">
        <v>1983</v>
      </c>
      <c r="E115" s="329" t="s">
        <v>17</v>
      </c>
      <c r="F115" s="216">
        <v>0</v>
      </c>
      <c r="G115" s="217">
        <v>10</v>
      </c>
      <c r="H115" s="217">
        <v>27</v>
      </c>
      <c r="I115" s="217">
        <v>48</v>
      </c>
      <c r="J115" s="217">
        <v>49</v>
      </c>
      <c r="K115" s="217">
        <v>42</v>
      </c>
      <c r="L115" s="214"/>
      <c r="M115" s="218">
        <v>6</v>
      </c>
      <c r="N115" s="230">
        <f t="shared" si="74"/>
        <v>176</v>
      </c>
      <c r="O115" s="300">
        <f t="shared" si="75"/>
        <v>30</v>
      </c>
      <c r="P115" s="301"/>
      <c r="Q115" s="545" t="str">
        <f t="shared" si="76"/>
        <v>NO</v>
      </c>
      <c r="R115" s="604" t="str">
        <f t="shared" si="77"/>
        <v/>
      </c>
      <c r="T115" s="583" t="str">
        <f t="shared" si="73"/>
        <v/>
      </c>
    </row>
    <row r="116" spans="1:20" ht="17.100000000000001" customHeight="1" thickBot="1" x14ac:dyDescent="0.35">
      <c r="A116" s="689" t="s">
        <v>208</v>
      </c>
      <c r="B116" s="324"/>
      <c r="C116" s="398" t="s">
        <v>367</v>
      </c>
      <c r="D116" s="241">
        <v>2233</v>
      </c>
      <c r="E116" s="324" t="s">
        <v>17</v>
      </c>
      <c r="F116" s="235">
        <v>0</v>
      </c>
      <c r="G116" s="236">
        <v>30</v>
      </c>
      <c r="H116" s="236">
        <v>45</v>
      </c>
      <c r="I116" s="236">
        <v>24</v>
      </c>
      <c r="J116" s="236">
        <v>35</v>
      </c>
      <c r="K116" s="236">
        <v>18</v>
      </c>
      <c r="L116" s="237">
        <v>10</v>
      </c>
      <c r="M116" s="238">
        <v>9</v>
      </c>
      <c r="N116" s="219">
        <f t="shared" si="74"/>
        <v>162</v>
      </c>
      <c r="O116" s="220">
        <f t="shared" si="75"/>
        <v>30</v>
      </c>
      <c r="P116" s="240"/>
      <c r="Q116" s="278" t="str">
        <f t="shared" si="76"/>
        <v>NO</v>
      </c>
      <c r="R116" s="607" t="str">
        <f t="shared" si="77"/>
        <v/>
      </c>
      <c r="T116" s="583" t="str">
        <f t="shared" si="73"/>
        <v/>
      </c>
    </row>
    <row r="117" spans="1:20" ht="24" customHeight="1" thickBot="1" x14ac:dyDescent="0.35">
      <c r="B117" s="967">
        <f>COUNTA(B66:B116)</f>
        <v>14</v>
      </c>
      <c r="C117" s="785" t="s">
        <v>71</v>
      </c>
      <c r="D117" s="1112" t="s">
        <v>74</v>
      </c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4"/>
      <c r="T117" s="585"/>
    </row>
    <row r="118" spans="1:20" ht="18.600000000000001" thickBot="1" x14ac:dyDescent="0.35">
      <c r="T118" s="585"/>
    </row>
    <row r="119" spans="1:20" ht="9.9" customHeight="1" thickBot="1" x14ac:dyDescent="0.35">
      <c r="F119" s="269"/>
      <c r="T119" s="585"/>
    </row>
    <row r="120" spans="1:20" ht="24" customHeight="1" thickBot="1" x14ac:dyDescent="0.35">
      <c r="C120" s="1159" t="s">
        <v>32</v>
      </c>
      <c r="D120" s="1160"/>
      <c r="E120" s="1160"/>
      <c r="F120" s="1160"/>
      <c r="G120" s="1160"/>
      <c r="H120" s="1160"/>
      <c r="I120" s="1160"/>
      <c r="J120" s="1160"/>
      <c r="K120" s="1161"/>
      <c r="L120" s="1162" t="s">
        <v>182</v>
      </c>
      <c r="M120" s="1163"/>
      <c r="N120" s="835">
        <v>30</v>
      </c>
      <c r="O120" s="1162" t="s">
        <v>189</v>
      </c>
      <c r="P120" s="1163"/>
      <c r="Q120" s="836">
        <v>300</v>
      </c>
      <c r="T120" s="1136" t="s">
        <v>185</v>
      </c>
    </row>
    <row r="121" spans="1:20" ht="29.25" customHeight="1" thickBot="1" x14ac:dyDescent="0.35">
      <c r="B121" s="974" t="s">
        <v>154</v>
      </c>
      <c r="C121" s="200" t="s">
        <v>0</v>
      </c>
      <c r="D121" s="466" t="s">
        <v>1</v>
      </c>
      <c r="E121" s="201" t="s">
        <v>2</v>
      </c>
      <c r="F121" s="202" t="s">
        <v>48</v>
      </c>
      <c r="G121" s="202">
        <v>10</v>
      </c>
      <c r="H121" s="202">
        <v>9</v>
      </c>
      <c r="I121" s="202">
        <v>8</v>
      </c>
      <c r="J121" s="202">
        <v>7</v>
      </c>
      <c r="K121" s="202">
        <v>6</v>
      </c>
      <c r="L121" s="203">
        <v>5</v>
      </c>
      <c r="M121" s="204">
        <v>0</v>
      </c>
      <c r="N121" s="1060" t="s">
        <v>9</v>
      </c>
      <c r="O121" s="204" t="s">
        <v>49</v>
      </c>
      <c r="P121" s="257"/>
      <c r="Q121" s="428" t="s">
        <v>59</v>
      </c>
      <c r="R121" s="837" t="s">
        <v>60</v>
      </c>
      <c r="T121" s="1137"/>
    </row>
    <row r="122" spans="1:20" ht="17.100000000000001" hidden="1" customHeight="1" thickBot="1" x14ac:dyDescent="0.35">
      <c r="A122" s="689" t="s">
        <v>209</v>
      </c>
      <c r="B122" s="803"/>
      <c r="C122" s="325" t="s">
        <v>147</v>
      </c>
      <c r="D122" s="287">
        <v>2149</v>
      </c>
      <c r="E122" s="842" t="s">
        <v>18</v>
      </c>
      <c r="F122" s="243"/>
      <c r="G122" s="243"/>
      <c r="H122" s="243"/>
      <c r="I122" s="243"/>
      <c r="J122" s="243"/>
      <c r="K122" s="243"/>
      <c r="L122" s="1059"/>
      <c r="M122" s="1061"/>
      <c r="N122" s="871">
        <f>SUM($F122:$L122)</f>
        <v>0</v>
      </c>
      <c r="O122" s="272">
        <f>(F122/10)+(G122/10)+(H122/9)+(I122/8)+(J122/7)+(K122/6)+(L122/5)+M122</f>
        <v>0</v>
      </c>
      <c r="P122" s="534"/>
      <c r="Q122" s="1145"/>
      <c r="R122" s="1146"/>
      <c r="T122" s="583" t="str">
        <f t="shared" ref="T122:T130" si="82">IF(O122=0,"",IF(O122=30,"","Shot count Error"))</f>
        <v/>
      </c>
    </row>
    <row r="123" spans="1:20" ht="17.100000000000001" hidden="1" customHeight="1" thickBot="1" x14ac:dyDescent="0.35">
      <c r="A123" s="689" t="s">
        <v>209</v>
      </c>
      <c r="B123" s="796"/>
      <c r="C123" s="331"/>
      <c r="D123" s="254"/>
      <c r="E123" s="843" t="s">
        <v>18</v>
      </c>
      <c r="F123" s="249"/>
      <c r="G123" s="249"/>
      <c r="H123" s="249"/>
      <c r="I123" s="249"/>
      <c r="J123" s="249"/>
      <c r="K123" s="249"/>
      <c r="L123" s="1021"/>
      <c r="M123" s="1062"/>
      <c r="N123" s="830">
        <f t="shared" ref="N123:N125" si="83">SUM($F123:$L123)</f>
        <v>0</v>
      </c>
      <c r="O123" s="300">
        <f t="shared" ref="O123:O130" si="84">(F123/10)+(G123/10)+(H123/9)+(I123/8)+(J123/7)+(K123/6)+(L123/5)+M123</f>
        <v>0</v>
      </c>
      <c r="P123" s="301"/>
      <c r="Q123" s="1147"/>
      <c r="R123" s="1148"/>
      <c r="T123" s="583" t="str">
        <f t="shared" si="82"/>
        <v/>
      </c>
    </row>
    <row r="124" spans="1:20" ht="17.100000000000001" hidden="1" customHeight="1" thickBot="1" x14ac:dyDescent="0.35">
      <c r="A124" s="689" t="s">
        <v>209</v>
      </c>
      <c r="B124" s="796"/>
      <c r="C124" s="331" t="s">
        <v>143</v>
      </c>
      <c r="D124" s="254">
        <v>1786</v>
      </c>
      <c r="E124" s="843" t="s">
        <v>14</v>
      </c>
      <c r="F124" s="249"/>
      <c r="G124" s="249"/>
      <c r="H124" s="249"/>
      <c r="I124" s="249"/>
      <c r="J124" s="249"/>
      <c r="K124" s="249"/>
      <c r="L124" s="1021"/>
      <c r="M124" s="1062"/>
      <c r="N124" s="830">
        <f t="shared" si="83"/>
        <v>0</v>
      </c>
      <c r="O124" s="300">
        <f t="shared" si="84"/>
        <v>0</v>
      </c>
      <c r="P124" s="301"/>
      <c r="Q124" s="852" t="str">
        <f>IF(N124&gt;296,"YES","NO")</f>
        <v>NO</v>
      </c>
      <c r="R124" s="839" t="str">
        <f>IF(Q124="YES","HM","")</f>
        <v/>
      </c>
      <c r="T124" s="583" t="str">
        <f t="shared" si="82"/>
        <v/>
      </c>
    </row>
    <row r="125" spans="1:20" ht="17.100000000000001" hidden="1" customHeight="1" thickBot="1" x14ac:dyDescent="0.35">
      <c r="A125" s="689" t="s">
        <v>209</v>
      </c>
      <c r="B125" s="796"/>
      <c r="C125" s="331"/>
      <c r="D125" s="254"/>
      <c r="E125" s="843" t="s">
        <v>15</v>
      </c>
      <c r="F125" s="249"/>
      <c r="G125" s="249"/>
      <c r="H125" s="249"/>
      <c r="I125" s="249"/>
      <c r="J125" s="249"/>
      <c r="K125" s="249"/>
      <c r="L125" s="1021"/>
      <c r="M125" s="1062"/>
      <c r="N125" s="830">
        <f t="shared" si="83"/>
        <v>0</v>
      </c>
      <c r="O125" s="300">
        <f t="shared" si="84"/>
        <v>0</v>
      </c>
      <c r="P125" s="301"/>
      <c r="Q125" s="852" t="str">
        <f>IF(N125&gt;293,"YES","NO")</f>
        <v>NO</v>
      </c>
      <c r="R125" s="839" t="str">
        <f>IF(Q125="YES","M","")</f>
        <v/>
      </c>
      <c r="T125" s="583" t="str">
        <f t="shared" si="82"/>
        <v/>
      </c>
    </row>
    <row r="126" spans="1:20" ht="17.100000000000001" hidden="1" customHeight="1" thickBot="1" x14ac:dyDescent="0.35">
      <c r="A126" s="689" t="s">
        <v>209</v>
      </c>
      <c r="B126" s="840"/>
      <c r="C126" s="329"/>
      <c r="D126" s="845"/>
      <c r="E126" s="844" t="s">
        <v>16</v>
      </c>
      <c r="F126" s="217"/>
      <c r="G126" s="217"/>
      <c r="H126" s="217"/>
      <c r="I126" s="217"/>
      <c r="J126" s="217"/>
      <c r="K126" s="217"/>
      <c r="L126" s="214"/>
      <c r="M126" s="473"/>
      <c r="N126" s="995">
        <f>SUM($F126:$L126)</f>
        <v>0</v>
      </c>
      <c r="O126" s="265">
        <f>(F126/10)+(G126/10)+(H126/9)+(I126/8)+(J126/7)+(K126/6)+(L126/5)+M126</f>
        <v>0</v>
      </c>
      <c r="P126" s="233"/>
      <c r="Q126" s="853" t="str">
        <f>IF(N126&gt;289,"YES","NO")</f>
        <v>NO</v>
      </c>
      <c r="R126" s="854" t="str">
        <f>IF(Q126="YES","G","")</f>
        <v/>
      </c>
      <c r="T126" s="583" t="str">
        <f t="shared" si="82"/>
        <v/>
      </c>
    </row>
    <row r="127" spans="1:20" ht="17.100000000000001" customHeight="1" thickBot="1" x14ac:dyDescent="0.35">
      <c r="C127" s="325" t="s">
        <v>147</v>
      </c>
      <c r="D127" s="1072">
        <v>2149</v>
      </c>
      <c r="E127" s="395" t="s">
        <v>18</v>
      </c>
      <c r="F127" s="292">
        <v>160</v>
      </c>
      <c r="G127" s="243">
        <v>100</v>
      </c>
      <c r="H127" s="243">
        <v>36</v>
      </c>
      <c r="I127" s="243"/>
      <c r="J127" s="243"/>
      <c r="K127" s="243"/>
      <c r="L127" s="1059"/>
      <c r="M127" s="1061"/>
      <c r="N127" s="830">
        <f>SUM($F127:$L127)</f>
        <v>296</v>
      </c>
      <c r="O127" s="300">
        <f t="shared" ref="O127" si="85">(F127/10)+(G127/10)+(H127/9)+(I127/8)+(J127/7)+(K127/6)+(L127/5)+M127</f>
        <v>30</v>
      </c>
      <c r="P127" s="301"/>
      <c r="Q127" s="852"/>
      <c r="R127" s="839"/>
      <c r="T127" s="583"/>
    </row>
    <row r="128" spans="1:20" ht="17.100000000000001" customHeight="1" thickBot="1" x14ac:dyDescent="0.35">
      <c r="A128" s="689" t="s">
        <v>209</v>
      </c>
      <c r="B128" s="326" t="s">
        <v>252</v>
      </c>
      <c r="C128" s="323" t="s">
        <v>220</v>
      </c>
      <c r="D128" s="774">
        <v>1983</v>
      </c>
      <c r="E128" s="394" t="s">
        <v>17</v>
      </c>
      <c r="F128" s="262">
        <v>10</v>
      </c>
      <c r="G128" s="210">
        <v>40</v>
      </c>
      <c r="H128" s="210">
        <v>72</v>
      </c>
      <c r="I128" s="210">
        <v>56</v>
      </c>
      <c r="J128" s="210">
        <v>63</v>
      </c>
      <c r="K128" s="210"/>
      <c r="L128" s="207">
        <v>0</v>
      </c>
      <c r="M128" s="1063">
        <v>1</v>
      </c>
      <c r="N128" s="850">
        <f>SUM($F128:$L128)</f>
        <v>241</v>
      </c>
      <c r="O128" s="260">
        <f>(F128/10)+(G128/10)+(H128/9)+(I128/8)+(J128/7)+(K128/6)+(L128/5)+M128</f>
        <v>30</v>
      </c>
      <c r="P128" s="469"/>
      <c r="Q128" s="855" t="str">
        <f>IF(N128&gt;279,"YES","NO")</f>
        <v>NO</v>
      </c>
      <c r="R128" s="838" t="str">
        <f>IF(Q128="YES","S","")</f>
        <v/>
      </c>
      <c r="T128" s="583" t="str">
        <f t="shared" si="82"/>
        <v/>
      </c>
    </row>
    <row r="129" spans="1:21" ht="17.100000000000001" customHeight="1" thickBot="1" x14ac:dyDescent="0.35">
      <c r="A129" s="689" t="s">
        <v>209</v>
      </c>
      <c r="B129" s="328" t="s">
        <v>257</v>
      </c>
      <c r="C129" s="331" t="s">
        <v>219</v>
      </c>
      <c r="D129" s="846">
        <v>1982</v>
      </c>
      <c r="E129" s="546" t="s">
        <v>17</v>
      </c>
      <c r="F129" s="277">
        <v>10</v>
      </c>
      <c r="G129" s="249">
        <v>40</v>
      </c>
      <c r="H129" s="249">
        <v>72</v>
      </c>
      <c r="I129" s="249">
        <v>56</v>
      </c>
      <c r="J129" s="249">
        <v>42</v>
      </c>
      <c r="K129" s="249">
        <v>12</v>
      </c>
      <c r="L129" s="1021"/>
      <c r="M129" s="1062">
        <v>2</v>
      </c>
      <c r="N129" s="830">
        <f>SUM($F129:$L129)</f>
        <v>232</v>
      </c>
      <c r="O129" s="300">
        <f t="shared" ref="O129" si="86">(F129/10)+(G129/10)+(H129/9)+(I129/8)+(J129/7)+(K129/6)+(L129/5)+M129</f>
        <v>30</v>
      </c>
      <c r="P129" s="301"/>
      <c r="Q129" s="852" t="str">
        <f>IF(N129&gt;279,"YES","NO")</f>
        <v>NO</v>
      </c>
      <c r="R129" s="839" t="str">
        <f>IF(Q129="YES","S","")</f>
        <v/>
      </c>
      <c r="T129" s="586" t="str">
        <f t="shared" ref="T129" si="87">IF(O129=0,"",IF(O129=30,"","Shot count Error"))</f>
        <v/>
      </c>
    </row>
    <row r="130" spans="1:21" ht="17.100000000000001" customHeight="1" thickBot="1" x14ac:dyDescent="0.35">
      <c r="A130" s="689" t="s">
        <v>209</v>
      </c>
      <c r="B130" s="333" t="s">
        <v>262</v>
      </c>
      <c r="C130" s="324" t="s">
        <v>146</v>
      </c>
      <c r="D130" s="467">
        <v>1615</v>
      </c>
      <c r="E130" s="398" t="s">
        <v>17</v>
      </c>
      <c r="F130" s="274">
        <v>0</v>
      </c>
      <c r="G130" s="236">
        <v>60</v>
      </c>
      <c r="H130" s="236">
        <v>45</v>
      </c>
      <c r="I130" s="236">
        <v>32</v>
      </c>
      <c r="J130" s="236">
        <v>14</v>
      </c>
      <c r="K130" s="236">
        <v>24</v>
      </c>
      <c r="L130" s="237">
        <v>15</v>
      </c>
      <c r="M130" s="296">
        <v>6</v>
      </c>
      <c r="N130" s="851">
        <f>SUM($F130:$L130)</f>
        <v>190</v>
      </c>
      <c r="O130" s="220">
        <f t="shared" si="84"/>
        <v>30</v>
      </c>
      <c r="P130" s="240"/>
      <c r="Q130" s="856" t="str">
        <f>IF(N130&gt;279,"YES","NO")</f>
        <v>NO</v>
      </c>
      <c r="R130" s="617" t="str">
        <f>IF(Q130="YES","S","")</f>
        <v/>
      </c>
      <c r="T130" s="586" t="str">
        <f t="shared" si="82"/>
        <v/>
      </c>
    </row>
    <row r="131" spans="1:21" ht="24.9" customHeight="1" thickBot="1" x14ac:dyDescent="0.35">
      <c r="B131" s="967">
        <f>COUNTA(B128:B130)</f>
        <v>3</v>
      </c>
      <c r="C131" s="785" t="s">
        <v>71</v>
      </c>
      <c r="D131" s="1152" t="s">
        <v>74</v>
      </c>
      <c r="E131" s="1113"/>
      <c r="F131" s="1113"/>
      <c r="G131" s="1113"/>
      <c r="H131" s="1113"/>
      <c r="I131" s="1113"/>
      <c r="J131" s="1113"/>
      <c r="K131" s="1113"/>
      <c r="L131" s="1113"/>
      <c r="M131" s="1113"/>
      <c r="N131" s="1113"/>
      <c r="O131" s="1114"/>
      <c r="T131" s="585"/>
    </row>
    <row r="132" spans="1:21" ht="10.5" customHeight="1" x14ac:dyDescent="0.3">
      <c r="T132" s="585"/>
    </row>
    <row r="133" spans="1:21" ht="16.95" customHeight="1" thickBot="1" x14ac:dyDescent="0.35"/>
    <row r="134" spans="1:21" ht="22.8" customHeight="1" thickBot="1" x14ac:dyDescent="0.35">
      <c r="C134" s="1117" t="s">
        <v>28</v>
      </c>
      <c r="D134" s="1118"/>
      <c r="E134" s="1118"/>
      <c r="F134" s="1118"/>
      <c r="G134" s="1118"/>
      <c r="H134" s="1118"/>
      <c r="I134" s="1118"/>
      <c r="J134" s="1119"/>
      <c r="K134" s="1115" t="s">
        <v>182</v>
      </c>
      <c r="L134" s="1116"/>
      <c r="M134" s="598">
        <v>30</v>
      </c>
      <c r="N134" s="1120" t="s">
        <v>189</v>
      </c>
      <c r="O134" s="1121"/>
      <c r="P134" s="1122">
        <v>300</v>
      </c>
      <c r="Q134" s="1123"/>
      <c r="R134" s="599"/>
      <c r="S134" s="196"/>
      <c r="T134" s="1126" t="s">
        <v>185</v>
      </c>
      <c r="U134" s="196"/>
    </row>
    <row r="135" spans="1:21" ht="25.8" customHeight="1" thickBot="1" x14ac:dyDescent="0.35">
      <c r="B135" s="535" t="s">
        <v>154</v>
      </c>
      <c r="C135" s="201" t="s">
        <v>0</v>
      </c>
      <c r="D135" s="255" t="s">
        <v>1</v>
      </c>
      <c r="E135" s="200" t="s">
        <v>2</v>
      </c>
      <c r="F135" s="575" t="s">
        <v>48</v>
      </c>
      <c r="G135" s="202">
        <v>10</v>
      </c>
      <c r="H135" s="202">
        <v>9</v>
      </c>
      <c r="I135" s="202">
        <v>8</v>
      </c>
      <c r="J135" s="202">
        <v>7</v>
      </c>
      <c r="K135" s="202">
        <v>6</v>
      </c>
      <c r="L135" s="1002">
        <v>5</v>
      </c>
      <c r="M135" s="204">
        <v>0</v>
      </c>
      <c r="N135" s="297" t="s">
        <v>9</v>
      </c>
      <c r="O135" s="560" t="s">
        <v>49</v>
      </c>
      <c r="P135" s="196"/>
      <c r="Q135" s="426" t="s">
        <v>59</v>
      </c>
      <c r="R135" s="319" t="s">
        <v>60</v>
      </c>
      <c r="S135" s="196"/>
      <c r="T135" s="1127"/>
      <c r="U135" s="196"/>
    </row>
    <row r="136" spans="1:21" ht="16.95" hidden="1" customHeight="1" thickBot="1" x14ac:dyDescent="0.35">
      <c r="A136" s="689" t="s">
        <v>213</v>
      </c>
      <c r="B136" s="200"/>
      <c r="C136" s="309" t="s">
        <v>192</v>
      </c>
      <c r="D136" s="197">
        <v>2434</v>
      </c>
      <c r="E136" s="692" t="s">
        <v>18</v>
      </c>
      <c r="F136" s="243"/>
      <c r="G136" s="243"/>
      <c r="H136" s="243"/>
      <c r="I136" s="243"/>
      <c r="J136" s="243"/>
      <c r="K136" s="243"/>
      <c r="L136" s="243"/>
      <c r="M136" s="310"/>
      <c r="N136" s="208">
        <f t="shared" ref="N136:N149" si="88">SUM($F136:$L136)</f>
        <v>0</v>
      </c>
      <c r="O136" s="260">
        <f t="shared" ref="O136:O141" si="89">(F136/10)+(G136/10)+(H136/9)+(I136/8)+(J136/7)+(K136/6)+(L136/5)+M136</f>
        <v>0</v>
      </c>
      <c r="Q136" s="1171"/>
      <c r="R136" s="1172"/>
      <c r="T136" s="583" t="str">
        <f t="shared" ref="T136:T137" si="90">IF(O136=0,"",IF(O136=30,"","Shot count Error"))</f>
        <v/>
      </c>
    </row>
    <row r="137" spans="1:21" ht="16.95" hidden="1" customHeight="1" thickBot="1" x14ac:dyDescent="0.35">
      <c r="A137" s="689" t="s">
        <v>213</v>
      </c>
      <c r="B137" s="330"/>
      <c r="C137" s="474" t="s">
        <v>147</v>
      </c>
      <c r="D137" s="1058">
        <v>2149</v>
      </c>
      <c r="E137" s="544" t="s">
        <v>18</v>
      </c>
      <c r="F137" s="217"/>
      <c r="G137" s="217"/>
      <c r="H137" s="217"/>
      <c r="I137" s="217"/>
      <c r="J137" s="217"/>
      <c r="K137" s="217"/>
      <c r="L137" s="217"/>
      <c r="M137" s="552"/>
      <c r="N137" s="215">
        <f t="shared" si="88"/>
        <v>0</v>
      </c>
      <c r="O137" s="265">
        <f t="shared" si="89"/>
        <v>0</v>
      </c>
      <c r="Q137" s="1171"/>
      <c r="R137" s="1172"/>
      <c r="T137" s="583" t="str">
        <f t="shared" si="90"/>
        <v/>
      </c>
    </row>
    <row r="138" spans="1:21" ht="16.95" customHeight="1" thickBot="1" x14ac:dyDescent="0.35">
      <c r="B138" s="330" t="s">
        <v>300</v>
      </c>
      <c r="C138" s="309" t="s">
        <v>110</v>
      </c>
      <c r="D138" s="602">
        <v>1465</v>
      </c>
      <c r="E138" s="330" t="s">
        <v>18</v>
      </c>
      <c r="F138" s="216">
        <v>140</v>
      </c>
      <c r="G138" s="217">
        <v>140</v>
      </c>
      <c r="H138" s="217">
        <v>18</v>
      </c>
      <c r="I138" s="217"/>
      <c r="J138" s="217"/>
      <c r="K138" s="217"/>
      <c r="L138" s="217"/>
      <c r="M138" s="552"/>
      <c r="N138" s="215">
        <f>SUM($F138:$L138)</f>
        <v>298</v>
      </c>
      <c r="O138" s="265">
        <f t="shared" si="89"/>
        <v>30</v>
      </c>
      <c r="Q138" s="1171"/>
      <c r="R138" s="1172"/>
      <c r="T138" s="583"/>
    </row>
    <row r="139" spans="1:21" ht="16.95" customHeight="1" thickBot="1" x14ac:dyDescent="0.35">
      <c r="B139" s="331" t="s">
        <v>353</v>
      </c>
      <c r="C139" s="653" t="s">
        <v>206</v>
      </c>
      <c r="D139" s="476">
        <v>1041</v>
      </c>
      <c r="E139" s="331" t="s">
        <v>18</v>
      </c>
      <c r="F139" s="248">
        <v>90</v>
      </c>
      <c r="G139" s="249">
        <v>190</v>
      </c>
      <c r="H139" s="249">
        <v>18</v>
      </c>
      <c r="I139" s="249">
        <v>0</v>
      </c>
      <c r="J139" s="249"/>
      <c r="K139" s="249"/>
      <c r="L139" s="249"/>
      <c r="M139" s="310"/>
      <c r="N139" s="230">
        <f>SUM($F139:$L139)</f>
        <v>298</v>
      </c>
      <c r="O139" s="300">
        <f t="shared" si="89"/>
        <v>30</v>
      </c>
      <c r="Q139" s="1171"/>
      <c r="R139" s="1172"/>
      <c r="T139" s="583"/>
    </row>
    <row r="140" spans="1:21" ht="16.95" customHeight="1" thickBot="1" x14ac:dyDescent="0.35">
      <c r="B140" s="331"/>
      <c r="C140" s="653" t="s">
        <v>147</v>
      </c>
      <c r="D140" s="476">
        <v>2149</v>
      </c>
      <c r="E140" s="331" t="s">
        <v>18</v>
      </c>
      <c r="F140" s="248">
        <v>140</v>
      </c>
      <c r="G140" s="249">
        <v>110</v>
      </c>
      <c r="H140" s="249">
        <v>45</v>
      </c>
      <c r="I140" s="249"/>
      <c r="J140" s="249"/>
      <c r="K140" s="249"/>
      <c r="L140" s="249"/>
      <c r="M140" s="310"/>
      <c r="N140" s="230">
        <f t="shared" si="88"/>
        <v>295</v>
      </c>
      <c r="O140" s="300">
        <f t="shared" si="89"/>
        <v>30</v>
      </c>
      <c r="Q140" s="1171"/>
      <c r="R140" s="1172"/>
      <c r="T140" s="583"/>
    </row>
    <row r="141" spans="1:21" ht="16.95" customHeight="1" thickBot="1" x14ac:dyDescent="0.35">
      <c r="B141" s="324"/>
      <c r="C141" s="475" t="s">
        <v>192</v>
      </c>
      <c r="D141" s="1001">
        <v>2434</v>
      </c>
      <c r="E141" s="324" t="s">
        <v>18</v>
      </c>
      <c r="F141" s="216">
        <v>140</v>
      </c>
      <c r="G141" s="217">
        <v>110</v>
      </c>
      <c r="H141" s="217">
        <v>45</v>
      </c>
      <c r="I141" s="217"/>
      <c r="J141" s="217"/>
      <c r="K141" s="217"/>
      <c r="L141" s="217"/>
      <c r="M141" s="552"/>
      <c r="N141" s="215">
        <f t="shared" si="88"/>
        <v>295</v>
      </c>
      <c r="O141" s="265">
        <f t="shared" si="89"/>
        <v>30</v>
      </c>
      <c r="Q141" s="1171"/>
      <c r="R141" s="1172"/>
      <c r="T141" s="583"/>
    </row>
    <row r="142" spans="1:21" ht="16.95" customHeight="1" thickBot="1" x14ac:dyDescent="0.35">
      <c r="B142" s="332"/>
      <c r="C142" s="975" t="s">
        <v>115</v>
      </c>
      <c r="D142" s="197">
        <v>1383</v>
      </c>
      <c r="E142" s="691" t="s">
        <v>14</v>
      </c>
      <c r="F142" s="464">
        <v>100</v>
      </c>
      <c r="G142" s="223">
        <v>80</v>
      </c>
      <c r="H142" s="223">
        <v>108</v>
      </c>
      <c r="I142" s="223"/>
      <c r="J142" s="223"/>
      <c r="K142" s="223"/>
      <c r="L142" s="223"/>
      <c r="M142" s="859"/>
      <c r="N142" s="212">
        <f>SUM($F142:$L142)</f>
        <v>288</v>
      </c>
      <c r="O142" s="334">
        <f t="shared" ref="O142:O144" si="91">(F142/10)+(G142/10)+(H142/9)+(I142/8)+(J142/7)+(K142/6)+(L142/5)+M142</f>
        <v>30</v>
      </c>
      <c r="P142" s="295"/>
      <c r="Q142" s="280" t="str">
        <f t="shared" ref="Q142:Q149" si="92">IF(N142&gt;297,"Yes","NO")</f>
        <v>NO</v>
      </c>
      <c r="R142" s="612" t="str">
        <f t="shared" ref="R142:R149" si="93">IF(Q142="yes","HM","")</f>
        <v/>
      </c>
      <c r="T142" s="583" t="str">
        <f t="shared" ref="T142" si="94">IF(O142=0,"",IF(O142=30,"","Shot count Error"))</f>
        <v/>
      </c>
    </row>
    <row r="143" spans="1:21" ht="16.95" customHeight="1" thickBot="1" x14ac:dyDescent="0.35">
      <c r="B143" s="329"/>
      <c r="C143" s="474" t="s">
        <v>372</v>
      </c>
      <c r="D143" s="1058">
        <v>169</v>
      </c>
      <c r="E143" s="544" t="s">
        <v>14</v>
      </c>
      <c r="F143" s="264">
        <v>100</v>
      </c>
      <c r="G143" s="217">
        <v>120</v>
      </c>
      <c r="H143" s="217">
        <v>54</v>
      </c>
      <c r="I143" s="217">
        <v>8</v>
      </c>
      <c r="J143" s="217"/>
      <c r="K143" s="217"/>
      <c r="L143" s="217"/>
      <c r="M143" s="552">
        <v>1</v>
      </c>
      <c r="N143" s="215">
        <f>SUM($F143:$L143)</f>
        <v>282</v>
      </c>
      <c r="O143" s="265">
        <f t="shared" si="91"/>
        <v>30</v>
      </c>
      <c r="P143" s="233"/>
      <c r="Q143" s="390" t="str">
        <f t="shared" ref="Q143" si="95">IF(N143&gt;297,"Yes","NO")</f>
        <v>NO</v>
      </c>
      <c r="R143" s="611" t="str">
        <f t="shared" si="93"/>
        <v/>
      </c>
      <c r="T143" s="583"/>
    </row>
    <row r="144" spans="1:21" ht="16.95" customHeight="1" thickBot="1" x14ac:dyDescent="0.35">
      <c r="B144" s="331" t="s">
        <v>34</v>
      </c>
      <c r="C144" s="653" t="s">
        <v>242</v>
      </c>
      <c r="D144" s="476">
        <v>1661</v>
      </c>
      <c r="E144" s="544" t="s">
        <v>14</v>
      </c>
      <c r="F144" s="264">
        <v>40</v>
      </c>
      <c r="G144" s="217">
        <v>100</v>
      </c>
      <c r="H144" s="217">
        <v>99</v>
      </c>
      <c r="I144" s="217">
        <v>32</v>
      </c>
      <c r="J144" s="217">
        <v>7</v>
      </c>
      <c r="K144" s="217"/>
      <c r="L144" s="217"/>
      <c r="M144" s="552"/>
      <c r="N144" s="215">
        <f>SUM($F144:$L144)</f>
        <v>278</v>
      </c>
      <c r="O144" s="265">
        <f t="shared" si="91"/>
        <v>30</v>
      </c>
      <c r="P144" s="233"/>
      <c r="Q144" s="390" t="str">
        <f t="shared" ref="Q144" si="96">IF(N144&gt;297,"Yes","NO")</f>
        <v>NO</v>
      </c>
      <c r="R144" s="611" t="str">
        <f t="shared" si="93"/>
        <v/>
      </c>
      <c r="T144" s="583"/>
    </row>
    <row r="145" spans="1:22" ht="16.95" customHeight="1" thickBot="1" x14ac:dyDescent="0.35">
      <c r="A145" s="689" t="s">
        <v>213</v>
      </c>
      <c r="B145" s="324"/>
      <c r="C145" s="475" t="s">
        <v>112</v>
      </c>
      <c r="D145" s="240">
        <v>219</v>
      </c>
      <c r="E145" s="333" t="s">
        <v>14</v>
      </c>
      <c r="F145" s="274">
        <v>30</v>
      </c>
      <c r="G145" s="236">
        <v>70</v>
      </c>
      <c r="H145" s="236">
        <v>144</v>
      </c>
      <c r="I145" s="236">
        <v>24</v>
      </c>
      <c r="J145" s="236">
        <v>7</v>
      </c>
      <c r="K145" s="236"/>
      <c r="L145" s="236"/>
      <c r="M145" s="860"/>
      <c r="N145" s="219">
        <f>SUM($F145:$L145)</f>
        <v>275</v>
      </c>
      <c r="O145" s="220">
        <f t="shared" ref="O145:O149" si="97">(F145/10)+(G145/10)+(H145/9)+(I145/8)+(J145/7)+(K145/6)+(L145/5)+M145</f>
        <v>30</v>
      </c>
      <c r="P145" s="240"/>
      <c r="Q145" s="234" t="str">
        <f t="shared" si="92"/>
        <v>NO</v>
      </c>
      <c r="R145" s="616" t="str">
        <f t="shared" si="93"/>
        <v/>
      </c>
      <c r="T145" s="583" t="str">
        <f t="shared" ref="T145" si="98">IF(O145=0,"",IF(O145=30,"","Shot count Error"))</f>
        <v/>
      </c>
    </row>
    <row r="146" spans="1:22" ht="16.95" hidden="1" customHeight="1" thickBot="1" x14ac:dyDescent="0.35">
      <c r="A146" s="689" t="s">
        <v>213</v>
      </c>
      <c r="B146" s="325"/>
      <c r="C146" s="975" t="s">
        <v>199</v>
      </c>
      <c r="D146" s="197">
        <v>506</v>
      </c>
      <c r="E146" s="692" t="s">
        <v>14</v>
      </c>
      <c r="F146" s="292"/>
      <c r="G146" s="243"/>
      <c r="H146" s="243"/>
      <c r="I146" s="243"/>
      <c r="J146" s="243"/>
      <c r="K146" s="243"/>
      <c r="L146" s="243"/>
      <c r="M146" s="857"/>
      <c r="N146" s="226">
        <f t="shared" si="88"/>
        <v>0</v>
      </c>
      <c r="O146" s="261">
        <f t="shared" ref="O146:O147" si="99">(F146/10)+(G146/10)+(H146/9)+(I146/8)+(J146/7)+(K146/6)+(L146/5)+M146</f>
        <v>0</v>
      </c>
      <c r="Q146" s="251" t="str">
        <f t="shared" si="92"/>
        <v>NO</v>
      </c>
      <c r="R146" s="615" t="str">
        <f t="shared" si="93"/>
        <v/>
      </c>
      <c r="T146" s="583" t="str">
        <f t="shared" ref="T146:T147" si="100">IF(O146=0,"",IF(O146=30,"","Shot count Error"))</f>
        <v/>
      </c>
    </row>
    <row r="147" spans="1:22" ht="16.95" hidden="1" customHeight="1" thickBot="1" x14ac:dyDescent="0.35">
      <c r="A147" s="689" t="s">
        <v>213</v>
      </c>
      <c r="B147" s="331"/>
      <c r="C147" s="474" t="s">
        <v>167</v>
      </c>
      <c r="D147" s="233">
        <v>1821</v>
      </c>
      <c r="E147" s="328" t="s">
        <v>14</v>
      </c>
      <c r="F147" s="277"/>
      <c r="G147" s="249"/>
      <c r="H147" s="249"/>
      <c r="I147" s="249"/>
      <c r="J147" s="249"/>
      <c r="K147" s="249"/>
      <c r="L147" s="249"/>
      <c r="M147" s="310"/>
      <c r="N147" s="230">
        <f t="shared" si="88"/>
        <v>0</v>
      </c>
      <c r="O147" s="300">
        <f t="shared" si="99"/>
        <v>0</v>
      </c>
      <c r="P147" s="233"/>
      <c r="Q147" s="390" t="str">
        <f t="shared" si="92"/>
        <v>NO</v>
      </c>
      <c r="R147" s="611" t="str">
        <f t="shared" si="93"/>
        <v/>
      </c>
      <c r="T147" s="583" t="str">
        <f t="shared" si="100"/>
        <v/>
      </c>
    </row>
    <row r="148" spans="1:22" ht="16.95" hidden="1" customHeight="1" thickBot="1" x14ac:dyDescent="0.35">
      <c r="A148" s="689" t="s">
        <v>213</v>
      </c>
      <c r="B148" s="331"/>
      <c r="C148" s="653" t="s">
        <v>112</v>
      </c>
      <c r="D148" s="301">
        <v>2021</v>
      </c>
      <c r="E148" s="328" t="s">
        <v>14</v>
      </c>
      <c r="F148" s="277"/>
      <c r="G148" s="249"/>
      <c r="H148" s="249"/>
      <c r="I148" s="249"/>
      <c r="J148" s="249"/>
      <c r="K148" s="249"/>
      <c r="L148" s="249"/>
      <c r="M148" s="310"/>
      <c r="N148" s="230">
        <f t="shared" si="88"/>
        <v>0</v>
      </c>
      <c r="O148" s="300">
        <f t="shared" ref="O148" si="101">(F148/10)+(G148/10)+(H148/9)+(I148/8)+(J148/7)+(K148/6)+(L148/5)+M148</f>
        <v>0</v>
      </c>
      <c r="P148" s="534"/>
      <c r="Q148" s="247" t="str">
        <f t="shared" si="92"/>
        <v>NO</v>
      </c>
      <c r="R148" s="613" t="str">
        <f t="shared" si="93"/>
        <v/>
      </c>
      <c r="T148" s="583" t="str">
        <f t="shared" ref="T148:T155" si="102">IF(O148=0,"",IF(O148=30,"","Shot count Error"))</f>
        <v/>
      </c>
    </row>
    <row r="149" spans="1:22" ht="16.95" hidden="1" customHeight="1" thickBot="1" x14ac:dyDescent="0.35">
      <c r="A149" s="689" t="s">
        <v>213</v>
      </c>
      <c r="B149" s="331"/>
      <c r="C149" s="975" t="s">
        <v>172</v>
      </c>
      <c r="D149" s="744">
        <v>1628</v>
      </c>
      <c r="E149" s="692" t="s">
        <v>14</v>
      </c>
      <c r="F149" s="264"/>
      <c r="G149" s="217"/>
      <c r="H149" s="217"/>
      <c r="I149" s="217"/>
      <c r="J149" s="217"/>
      <c r="K149" s="217"/>
      <c r="L149" s="217"/>
      <c r="M149" s="552"/>
      <c r="N149" s="226">
        <f t="shared" si="88"/>
        <v>0</v>
      </c>
      <c r="O149" s="261">
        <f t="shared" si="97"/>
        <v>0</v>
      </c>
      <c r="Q149" s="251" t="str">
        <f t="shared" si="92"/>
        <v>NO</v>
      </c>
      <c r="R149" s="615" t="str">
        <f t="shared" si="93"/>
        <v/>
      </c>
      <c r="T149" s="583" t="str">
        <f t="shared" si="102"/>
        <v/>
      </c>
    </row>
    <row r="150" spans="1:22" ht="16.95" customHeight="1" thickBot="1" x14ac:dyDescent="0.35">
      <c r="A150" s="689" t="s">
        <v>213</v>
      </c>
      <c r="B150" s="331"/>
      <c r="C150" s="394" t="s">
        <v>171</v>
      </c>
      <c r="D150" s="225">
        <v>1901</v>
      </c>
      <c r="E150" s="394" t="s">
        <v>15</v>
      </c>
      <c r="F150" s="262">
        <v>70</v>
      </c>
      <c r="G150" s="210">
        <v>150</v>
      </c>
      <c r="H150" s="210">
        <v>54</v>
      </c>
      <c r="I150" s="210">
        <v>16</v>
      </c>
      <c r="J150" s="210"/>
      <c r="K150" s="210"/>
      <c r="L150" s="210"/>
      <c r="M150" s="861"/>
      <c r="N150" s="212">
        <f t="shared" ref="N150:N159" si="103">SUM($F150:$L150)</f>
        <v>290</v>
      </c>
      <c r="O150" s="334">
        <f t="shared" ref="O150:O172" si="104">(F150/10)+(G150/10)+(H150/9)+(I150/8)+(J150/7)+(K150/6)+(L150/5)+M150</f>
        <v>30</v>
      </c>
      <c r="P150" s="295"/>
      <c r="Q150" s="280" t="str">
        <f t="shared" ref="Q150:Q159" si="105">IF(N150&gt;294,"Yes","NO")</f>
        <v>NO</v>
      </c>
      <c r="R150" s="612" t="str">
        <f t="shared" ref="R150:R159" si="106">IF(Q150="yes","M","")</f>
        <v/>
      </c>
      <c r="T150" s="583" t="str">
        <f t="shared" si="102"/>
        <v/>
      </c>
    </row>
    <row r="151" spans="1:22" ht="16.95" customHeight="1" thickBot="1" x14ac:dyDescent="0.35">
      <c r="B151" s="331" t="s">
        <v>249</v>
      </c>
      <c r="C151" s="546" t="s">
        <v>343</v>
      </c>
      <c r="D151" s="254">
        <v>1618</v>
      </c>
      <c r="E151" s="331" t="s">
        <v>15</v>
      </c>
      <c r="F151" s="277">
        <v>60</v>
      </c>
      <c r="G151" s="249">
        <v>130</v>
      </c>
      <c r="H151" s="249">
        <v>81</v>
      </c>
      <c r="I151" s="249">
        <v>8</v>
      </c>
      <c r="J151" s="249"/>
      <c r="K151" s="249">
        <v>6</v>
      </c>
      <c r="L151" s="249"/>
      <c r="M151" s="310"/>
      <c r="N151" s="230">
        <f t="shared" si="103"/>
        <v>285</v>
      </c>
      <c r="O151" s="300">
        <f t="shared" si="104"/>
        <v>30</v>
      </c>
      <c r="P151" s="301"/>
      <c r="Q151" s="247" t="str">
        <f t="shared" si="105"/>
        <v>NO</v>
      </c>
      <c r="R151" s="613" t="str">
        <f t="shared" si="106"/>
        <v/>
      </c>
      <c r="T151" s="583" t="str">
        <f t="shared" si="102"/>
        <v/>
      </c>
    </row>
    <row r="152" spans="1:22" ht="16.95" customHeight="1" thickBot="1" x14ac:dyDescent="0.35">
      <c r="B152" s="331" t="s">
        <v>311</v>
      </c>
      <c r="C152" s="546" t="s">
        <v>131</v>
      </c>
      <c r="D152" s="254">
        <v>1194</v>
      </c>
      <c r="E152" s="328" t="s">
        <v>15</v>
      </c>
      <c r="F152" s="277">
        <v>70</v>
      </c>
      <c r="G152" s="249">
        <v>110</v>
      </c>
      <c r="H152" s="249">
        <v>81</v>
      </c>
      <c r="I152" s="249">
        <v>16</v>
      </c>
      <c r="J152" s="249">
        <v>7</v>
      </c>
      <c r="K152" s="249"/>
      <c r="L152" s="249"/>
      <c r="M152" s="310"/>
      <c r="N152" s="230">
        <f t="shared" si="103"/>
        <v>284</v>
      </c>
      <c r="O152" s="300">
        <f>(F152/10)+(G152/10)+(H152/9)+(I152/8)+(J152/7)+(K152/6)+(L152/5)+M152</f>
        <v>30</v>
      </c>
      <c r="P152" s="301"/>
      <c r="Q152" s="247" t="str">
        <f>IF(N152&gt;294,"Yes","NO")</f>
        <v>NO</v>
      </c>
      <c r="R152" s="613" t="str">
        <f>IF(Q152="yes","M","")</f>
        <v/>
      </c>
      <c r="T152" s="583"/>
    </row>
    <row r="153" spans="1:22" ht="16.95" customHeight="1" thickBot="1" x14ac:dyDescent="0.35">
      <c r="B153" s="332"/>
      <c r="C153" s="206" t="s">
        <v>373</v>
      </c>
      <c r="D153" s="228">
        <v>1256</v>
      </c>
      <c r="E153" s="692" t="s">
        <v>15</v>
      </c>
      <c r="F153" s="264">
        <v>60</v>
      </c>
      <c r="G153" s="217">
        <v>90</v>
      </c>
      <c r="H153" s="217">
        <v>126</v>
      </c>
      <c r="I153" s="217">
        <v>8</v>
      </c>
      <c r="J153" s="217"/>
      <c r="K153" s="217"/>
      <c r="L153" s="249"/>
      <c r="M153" s="310"/>
      <c r="N153" s="230">
        <f t="shared" si="103"/>
        <v>284</v>
      </c>
      <c r="O153" s="300">
        <f t="shared" si="104"/>
        <v>30</v>
      </c>
      <c r="P153" s="301"/>
      <c r="Q153" s="247" t="str">
        <f t="shared" si="105"/>
        <v>NO</v>
      </c>
      <c r="R153" s="613" t="str">
        <f t="shared" si="106"/>
        <v/>
      </c>
      <c r="T153" s="583" t="str">
        <f t="shared" si="102"/>
        <v/>
      </c>
    </row>
    <row r="154" spans="1:22" ht="16.95" customHeight="1" thickBot="1" x14ac:dyDescent="0.35">
      <c r="A154" s="689" t="s">
        <v>213</v>
      </c>
      <c r="B154" s="331" t="s">
        <v>253</v>
      </c>
      <c r="C154" s="546" t="s">
        <v>333</v>
      </c>
      <c r="D154" s="232">
        <v>2466</v>
      </c>
      <c r="E154" s="328" t="s">
        <v>15</v>
      </c>
      <c r="F154" s="277">
        <v>70</v>
      </c>
      <c r="G154" s="249">
        <v>100</v>
      </c>
      <c r="H154" s="249">
        <v>72</v>
      </c>
      <c r="I154" s="249">
        <v>32</v>
      </c>
      <c r="J154" s="249">
        <v>7</v>
      </c>
      <c r="K154" s="249"/>
      <c r="L154" s="249"/>
      <c r="M154" s="310"/>
      <c r="N154" s="230">
        <f t="shared" si="103"/>
        <v>281</v>
      </c>
      <c r="O154" s="300">
        <f t="shared" si="104"/>
        <v>30</v>
      </c>
      <c r="P154" s="301"/>
      <c r="Q154" s="247" t="str">
        <f t="shared" si="105"/>
        <v>NO</v>
      </c>
      <c r="R154" s="613" t="str">
        <f t="shared" si="106"/>
        <v/>
      </c>
      <c r="T154" s="583" t="str">
        <f t="shared" si="102"/>
        <v/>
      </c>
    </row>
    <row r="155" spans="1:22" ht="16.95" customHeight="1" thickBot="1" x14ac:dyDescent="0.35">
      <c r="B155" s="331" t="s">
        <v>305</v>
      </c>
      <c r="C155" s="546" t="s">
        <v>306</v>
      </c>
      <c r="D155" s="232">
        <v>1264</v>
      </c>
      <c r="E155" s="328" t="s">
        <v>15</v>
      </c>
      <c r="F155" s="277">
        <v>40</v>
      </c>
      <c r="G155" s="249">
        <v>100</v>
      </c>
      <c r="H155" s="249">
        <v>108</v>
      </c>
      <c r="I155" s="249">
        <v>24</v>
      </c>
      <c r="J155" s="249"/>
      <c r="K155" s="249">
        <v>6</v>
      </c>
      <c r="L155" s="249"/>
      <c r="M155" s="310"/>
      <c r="N155" s="230">
        <f t="shared" si="103"/>
        <v>278</v>
      </c>
      <c r="O155" s="300">
        <f t="shared" si="104"/>
        <v>30</v>
      </c>
      <c r="P155" s="301"/>
      <c r="Q155" s="247" t="str">
        <f t="shared" si="105"/>
        <v>NO</v>
      </c>
      <c r="R155" s="613" t="str">
        <f t="shared" si="106"/>
        <v/>
      </c>
      <c r="T155" s="583" t="str">
        <f t="shared" si="102"/>
        <v/>
      </c>
    </row>
    <row r="156" spans="1:22" ht="16.95" customHeight="1" thickBot="1" x14ac:dyDescent="0.35">
      <c r="A156" s="689" t="s">
        <v>213</v>
      </c>
      <c r="B156" s="331" t="s">
        <v>296</v>
      </c>
      <c r="C156" s="546" t="s">
        <v>225</v>
      </c>
      <c r="D156" s="254">
        <v>1268</v>
      </c>
      <c r="E156" s="328" t="s">
        <v>15</v>
      </c>
      <c r="F156" s="277">
        <v>30</v>
      </c>
      <c r="G156" s="249">
        <v>120</v>
      </c>
      <c r="H156" s="249">
        <v>72</v>
      </c>
      <c r="I156" s="249">
        <v>40</v>
      </c>
      <c r="J156" s="249">
        <v>7</v>
      </c>
      <c r="K156" s="249"/>
      <c r="L156" s="249">
        <v>5</v>
      </c>
      <c r="M156" s="310"/>
      <c r="N156" s="230">
        <f t="shared" si="103"/>
        <v>274</v>
      </c>
      <c r="O156" s="300">
        <f t="shared" si="104"/>
        <v>30</v>
      </c>
      <c r="P156" s="301"/>
      <c r="Q156" s="247" t="str">
        <f t="shared" si="105"/>
        <v>NO</v>
      </c>
      <c r="R156" s="613" t="str">
        <f t="shared" si="106"/>
        <v/>
      </c>
      <c r="T156" s="583" t="str">
        <f t="shared" ref="T156" si="107">IF(O156=0,"",IF(O156=30,"","Shot count Error"))</f>
        <v/>
      </c>
    </row>
    <row r="157" spans="1:22" ht="16.95" customHeight="1" thickBot="1" x14ac:dyDescent="0.35">
      <c r="A157" s="689" t="s">
        <v>213</v>
      </c>
      <c r="B157" s="331"/>
      <c r="C157" s="546" t="s">
        <v>380</v>
      </c>
      <c r="D157" s="232">
        <v>2786</v>
      </c>
      <c r="E157" s="328" t="s">
        <v>15</v>
      </c>
      <c r="F157" s="277">
        <v>30</v>
      </c>
      <c r="G157" s="249">
        <v>100</v>
      </c>
      <c r="H157" s="249">
        <v>117</v>
      </c>
      <c r="I157" s="249">
        <v>16</v>
      </c>
      <c r="J157" s="249">
        <v>7</v>
      </c>
      <c r="K157" s="249"/>
      <c r="L157" s="249"/>
      <c r="M157" s="310">
        <v>1</v>
      </c>
      <c r="N157" s="230">
        <f t="shared" si="103"/>
        <v>270</v>
      </c>
      <c r="O157" s="300">
        <f t="shared" si="104"/>
        <v>30</v>
      </c>
      <c r="P157" s="301"/>
      <c r="Q157" s="247" t="str">
        <f t="shared" si="105"/>
        <v>NO</v>
      </c>
      <c r="R157" s="613" t="str">
        <f t="shared" si="106"/>
        <v/>
      </c>
      <c r="T157" s="583" t="str">
        <f>IF(O157=0,"",IF(O157=30,"","Shot count Error"))</f>
        <v/>
      </c>
    </row>
    <row r="158" spans="1:22" ht="16.95" customHeight="1" thickBot="1" x14ac:dyDescent="0.35">
      <c r="B158" s="331" t="s">
        <v>279</v>
      </c>
      <c r="C158" s="395" t="s">
        <v>304</v>
      </c>
      <c r="D158" s="232">
        <v>1580</v>
      </c>
      <c r="E158" s="328" t="s">
        <v>15</v>
      </c>
      <c r="F158" s="277">
        <v>0</v>
      </c>
      <c r="G158" s="249">
        <v>70</v>
      </c>
      <c r="H158" s="249">
        <v>126</v>
      </c>
      <c r="I158" s="249">
        <v>56</v>
      </c>
      <c r="J158" s="249">
        <v>7</v>
      </c>
      <c r="K158" s="249"/>
      <c r="L158" s="249"/>
      <c r="M158" s="310">
        <v>1</v>
      </c>
      <c r="N158" s="230">
        <f t="shared" si="103"/>
        <v>259</v>
      </c>
      <c r="O158" s="300">
        <f t="shared" ref="O158" si="108">(F158/10)+(G158/10)+(H158/9)+(I158/8)+(J158/7)+(K158/6)+(L158/5)+M158</f>
        <v>30</v>
      </c>
      <c r="P158" s="301"/>
      <c r="Q158" s="247" t="str">
        <f t="shared" ref="Q158" si="109">IF(N158&gt;294,"Yes","NO")</f>
        <v>NO</v>
      </c>
      <c r="R158" s="613" t="str">
        <f t="shared" ref="R158" si="110">IF(Q158="yes","M","")</f>
        <v/>
      </c>
      <c r="T158" s="583" t="str">
        <f>IF(O158=0,"",IF(O158=30,"","Shot count Error"))</f>
        <v/>
      </c>
    </row>
    <row r="159" spans="1:22" ht="16.95" customHeight="1" thickBot="1" x14ac:dyDescent="0.35">
      <c r="A159" s="689" t="s">
        <v>213</v>
      </c>
      <c r="B159" s="329" t="s">
        <v>261</v>
      </c>
      <c r="C159" s="206" t="s">
        <v>289</v>
      </c>
      <c r="D159" s="232">
        <v>1577</v>
      </c>
      <c r="E159" s="544" t="s">
        <v>15</v>
      </c>
      <c r="F159" s="264">
        <v>40</v>
      </c>
      <c r="G159" s="217">
        <v>40</v>
      </c>
      <c r="H159" s="217">
        <v>126</v>
      </c>
      <c r="I159" s="217">
        <v>40</v>
      </c>
      <c r="J159" s="217">
        <v>7</v>
      </c>
      <c r="K159" s="217"/>
      <c r="L159" s="217"/>
      <c r="M159" s="552">
        <v>2</v>
      </c>
      <c r="N159" s="215">
        <f t="shared" si="103"/>
        <v>253</v>
      </c>
      <c r="O159" s="265">
        <f t="shared" si="104"/>
        <v>30</v>
      </c>
      <c r="P159" s="233"/>
      <c r="Q159" s="390" t="str">
        <f t="shared" si="105"/>
        <v>NO</v>
      </c>
      <c r="R159" s="611" t="str">
        <f t="shared" si="106"/>
        <v/>
      </c>
      <c r="T159" s="583" t="str">
        <f t="shared" ref="T159" si="111">IF(O159=0,"",IF(O159=30,"","Shot count Error"))</f>
        <v/>
      </c>
    </row>
    <row r="160" spans="1:22" ht="16.95" customHeight="1" thickBot="1" x14ac:dyDescent="0.35">
      <c r="A160" s="689" t="s">
        <v>213</v>
      </c>
      <c r="B160" s="323" t="s">
        <v>295</v>
      </c>
      <c r="C160" s="394" t="s">
        <v>334</v>
      </c>
      <c r="D160" s="713" t="s">
        <v>384</v>
      </c>
      <c r="E160" s="323" t="s">
        <v>16</v>
      </c>
      <c r="F160" s="209">
        <v>60</v>
      </c>
      <c r="G160" s="210">
        <v>140</v>
      </c>
      <c r="H160" s="210">
        <v>54</v>
      </c>
      <c r="I160" s="210">
        <v>24</v>
      </c>
      <c r="J160" s="210">
        <v>7</v>
      </c>
      <c r="K160" s="210"/>
      <c r="L160" s="210"/>
      <c r="M160" s="847"/>
      <c r="N160" s="850">
        <f t="shared" ref="N160:N164" si="112">SUM($F160:$L160)</f>
        <v>285</v>
      </c>
      <c r="O160" s="260">
        <f t="shared" si="104"/>
        <v>30</v>
      </c>
      <c r="P160" s="469"/>
      <c r="Q160" s="963" t="str">
        <f t="shared" ref="Q160:Q164" si="113">IF(N160&gt;284,"Yes","NO")</f>
        <v>Yes</v>
      </c>
      <c r="R160" s="867" t="str">
        <f t="shared" ref="R160:R164" si="114">IF(Q160="yes","G","")</f>
        <v>G</v>
      </c>
      <c r="T160" s="583" t="str">
        <f>IF(O160=0,"",IF(O160=30,"","Shot count Error"))</f>
        <v/>
      </c>
      <c r="V160" s="985"/>
    </row>
    <row r="161" spans="1:22" ht="16.95" customHeight="1" thickBot="1" x14ac:dyDescent="0.35">
      <c r="B161" s="325" t="s">
        <v>257</v>
      </c>
      <c r="C161" s="395" t="s">
        <v>219</v>
      </c>
      <c r="D161" s="708">
        <v>1982</v>
      </c>
      <c r="E161" s="331" t="s">
        <v>16</v>
      </c>
      <c r="F161" s="248">
        <v>30</v>
      </c>
      <c r="G161" s="249">
        <v>60</v>
      </c>
      <c r="H161" s="249">
        <v>99</v>
      </c>
      <c r="I161" s="249">
        <v>64</v>
      </c>
      <c r="J161" s="249">
        <v>14</v>
      </c>
      <c r="K161" s="249"/>
      <c r="L161" s="249"/>
      <c r="M161" s="848"/>
      <c r="N161" s="830">
        <f t="shared" si="112"/>
        <v>267</v>
      </c>
      <c r="O161" s="300">
        <f t="shared" si="104"/>
        <v>30</v>
      </c>
      <c r="P161" s="301"/>
      <c r="Q161" s="302" t="str">
        <f t="shared" si="113"/>
        <v>NO</v>
      </c>
      <c r="R161" s="868" t="str">
        <f t="shared" si="114"/>
        <v/>
      </c>
      <c r="T161" s="583" t="str">
        <f>IF(O161=0,"",IF(O161=30,"","Shot count Error"))</f>
        <v/>
      </c>
      <c r="V161" s="985"/>
    </row>
    <row r="162" spans="1:22" ht="16.95" customHeight="1" thickBot="1" x14ac:dyDescent="0.35">
      <c r="A162" s="689" t="s">
        <v>213</v>
      </c>
      <c r="B162" s="331"/>
      <c r="C162" s="546" t="s">
        <v>359</v>
      </c>
      <c r="D162" s="694">
        <v>1225</v>
      </c>
      <c r="E162" s="331" t="s">
        <v>16</v>
      </c>
      <c r="F162" s="248">
        <v>20</v>
      </c>
      <c r="G162" s="249">
        <v>60</v>
      </c>
      <c r="H162" s="249">
        <v>126</v>
      </c>
      <c r="I162" s="249">
        <v>48</v>
      </c>
      <c r="J162" s="249">
        <v>7</v>
      </c>
      <c r="K162" s="249"/>
      <c r="L162" s="249"/>
      <c r="M162" s="848">
        <v>1</v>
      </c>
      <c r="N162" s="830">
        <f t="shared" si="112"/>
        <v>261</v>
      </c>
      <c r="O162" s="300">
        <f t="shared" si="104"/>
        <v>30</v>
      </c>
      <c r="P162" s="301"/>
      <c r="Q162" s="302" t="str">
        <f t="shared" si="113"/>
        <v>NO</v>
      </c>
      <c r="R162" s="868" t="str">
        <f t="shared" si="114"/>
        <v/>
      </c>
      <c r="T162" s="583" t="str">
        <f>IF(O162=0,"",IF(O162=30,"","Shot count Error"))</f>
        <v/>
      </c>
    </row>
    <row r="163" spans="1:22" ht="16.95" customHeight="1" thickBot="1" x14ac:dyDescent="0.35">
      <c r="A163" s="689" t="s">
        <v>213</v>
      </c>
      <c r="B163" s="331" t="s">
        <v>262</v>
      </c>
      <c r="C163" s="546" t="s">
        <v>146</v>
      </c>
      <c r="D163" s="694">
        <v>1615</v>
      </c>
      <c r="E163" s="331" t="s">
        <v>16</v>
      </c>
      <c r="F163" s="248">
        <v>20</v>
      </c>
      <c r="G163" s="249">
        <v>30</v>
      </c>
      <c r="H163" s="249">
        <v>117</v>
      </c>
      <c r="I163" s="249">
        <v>48</v>
      </c>
      <c r="J163" s="249">
        <v>7</v>
      </c>
      <c r="K163" s="249">
        <v>6</v>
      </c>
      <c r="L163" s="249">
        <v>15</v>
      </c>
      <c r="M163" s="848">
        <v>1</v>
      </c>
      <c r="N163" s="830">
        <f t="shared" si="112"/>
        <v>243</v>
      </c>
      <c r="O163" s="300">
        <f t="shared" si="104"/>
        <v>30</v>
      </c>
      <c r="P163" s="301"/>
      <c r="Q163" s="302" t="str">
        <f t="shared" si="113"/>
        <v>NO</v>
      </c>
      <c r="R163" s="868" t="str">
        <f t="shared" si="114"/>
        <v/>
      </c>
      <c r="T163" s="583" t="str">
        <f>IF(O163=0,"",IF(O163=30,"","Shot count Error"))</f>
        <v/>
      </c>
    </row>
    <row r="164" spans="1:22" ht="16.95" customHeight="1" thickBot="1" x14ac:dyDescent="0.35">
      <c r="A164" s="689" t="s">
        <v>213</v>
      </c>
      <c r="B164" s="324" t="s">
        <v>260</v>
      </c>
      <c r="C164" s="398" t="s">
        <v>375</v>
      </c>
      <c r="D164" s="714" t="s">
        <v>245</v>
      </c>
      <c r="E164" s="324" t="s">
        <v>16</v>
      </c>
      <c r="F164" s="235">
        <v>0</v>
      </c>
      <c r="G164" s="236">
        <v>40</v>
      </c>
      <c r="H164" s="236">
        <v>63</v>
      </c>
      <c r="I164" s="236">
        <v>48</v>
      </c>
      <c r="J164" s="236">
        <v>28</v>
      </c>
      <c r="K164" s="236">
        <v>12</v>
      </c>
      <c r="L164" s="236">
        <v>5</v>
      </c>
      <c r="M164" s="849">
        <v>6</v>
      </c>
      <c r="N164" s="851">
        <f t="shared" si="112"/>
        <v>196</v>
      </c>
      <c r="O164" s="220">
        <f t="shared" si="104"/>
        <v>30</v>
      </c>
      <c r="P164" s="240"/>
      <c r="Q164" s="298" t="str">
        <f t="shared" si="113"/>
        <v>NO</v>
      </c>
      <c r="R164" s="869" t="str">
        <f t="shared" si="114"/>
        <v/>
      </c>
      <c r="T164" s="583"/>
    </row>
    <row r="165" spans="1:22" ht="16.95" customHeight="1" thickBot="1" x14ac:dyDescent="0.35">
      <c r="A165" s="689" t="s">
        <v>213</v>
      </c>
      <c r="B165" s="325" t="s">
        <v>288</v>
      </c>
      <c r="C165" s="395" t="s">
        <v>181</v>
      </c>
      <c r="D165" s="287">
        <v>2580</v>
      </c>
      <c r="E165" s="206" t="s">
        <v>17</v>
      </c>
      <c r="F165" s="292">
        <v>40</v>
      </c>
      <c r="G165" s="243">
        <v>50</v>
      </c>
      <c r="H165" s="243">
        <v>117</v>
      </c>
      <c r="I165" s="243">
        <v>64</v>
      </c>
      <c r="J165" s="243"/>
      <c r="K165" s="243"/>
      <c r="L165" s="243"/>
      <c r="M165" s="857"/>
      <c r="N165" s="226">
        <f t="shared" ref="N165:N172" si="115">SUM($F165:$L165)</f>
        <v>271</v>
      </c>
      <c r="O165" s="261">
        <f t="shared" si="104"/>
        <v>30</v>
      </c>
      <c r="Q165" s="246" t="str">
        <f t="shared" ref="Q165:Q172" si="116">IF(N165&gt;270,"Yes","NO")</f>
        <v>Yes</v>
      </c>
      <c r="R165" s="618" t="str">
        <f t="shared" ref="R165:R172" si="117">IF(Q165="yes","S","")</f>
        <v>S</v>
      </c>
      <c r="T165" s="583" t="str">
        <f>IF(O165=0,"",IF(O165=30,"","Shot count Error"))</f>
        <v/>
      </c>
    </row>
    <row r="166" spans="1:22" ht="16.95" customHeight="1" thickBot="1" x14ac:dyDescent="0.35">
      <c r="A166" s="689" t="s">
        <v>213</v>
      </c>
      <c r="B166" s="331" t="s">
        <v>329</v>
      </c>
      <c r="C166" s="395" t="s">
        <v>330</v>
      </c>
      <c r="D166" s="287">
        <v>1750</v>
      </c>
      <c r="E166" s="546" t="s">
        <v>17</v>
      </c>
      <c r="F166" s="277">
        <v>20</v>
      </c>
      <c r="G166" s="249">
        <v>20</v>
      </c>
      <c r="H166" s="249">
        <v>153</v>
      </c>
      <c r="I166" s="249">
        <v>48</v>
      </c>
      <c r="J166" s="249">
        <v>14</v>
      </c>
      <c r="K166" s="249">
        <v>6</v>
      </c>
      <c r="L166" s="249"/>
      <c r="M166" s="310"/>
      <c r="N166" s="230">
        <f t="shared" si="115"/>
        <v>261</v>
      </c>
      <c r="O166" s="300">
        <f t="shared" si="104"/>
        <v>30</v>
      </c>
      <c r="P166" s="301"/>
      <c r="Q166" s="247" t="str">
        <f t="shared" si="116"/>
        <v>NO</v>
      </c>
      <c r="R166" s="613" t="str">
        <f t="shared" si="117"/>
        <v/>
      </c>
      <c r="T166" s="583"/>
    </row>
    <row r="167" spans="1:22" ht="16.95" customHeight="1" thickBot="1" x14ac:dyDescent="0.35">
      <c r="A167" s="689" t="s">
        <v>213</v>
      </c>
      <c r="B167" s="977">
        <v>1</v>
      </c>
      <c r="C167" s="395" t="s">
        <v>301</v>
      </c>
      <c r="D167" s="287">
        <v>1207</v>
      </c>
      <c r="E167" s="546" t="s">
        <v>17</v>
      </c>
      <c r="F167" s="277">
        <v>10</v>
      </c>
      <c r="G167" s="249">
        <v>40</v>
      </c>
      <c r="H167" s="249">
        <v>117</v>
      </c>
      <c r="I167" s="249">
        <v>32</v>
      </c>
      <c r="J167" s="249">
        <v>35</v>
      </c>
      <c r="K167" s="249">
        <v>12</v>
      </c>
      <c r="L167" s="249"/>
      <c r="M167" s="310">
        <v>1</v>
      </c>
      <c r="N167" s="230">
        <f t="shared" si="115"/>
        <v>246</v>
      </c>
      <c r="O167" s="300">
        <f t="shared" si="104"/>
        <v>30</v>
      </c>
      <c r="P167" s="301"/>
      <c r="Q167" s="247" t="str">
        <f t="shared" si="116"/>
        <v>NO</v>
      </c>
      <c r="R167" s="613" t="str">
        <f t="shared" si="117"/>
        <v/>
      </c>
      <c r="T167" s="583"/>
    </row>
    <row r="168" spans="1:22" ht="16.95" customHeight="1" thickBot="1" x14ac:dyDescent="0.35">
      <c r="A168" s="689" t="s">
        <v>213</v>
      </c>
      <c r="B168" s="977">
        <v>2</v>
      </c>
      <c r="C168" s="546" t="s">
        <v>302</v>
      </c>
      <c r="D168" s="254">
        <v>306</v>
      </c>
      <c r="E168" s="546" t="s">
        <v>17</v>
      </c>
      <c r="F168" s="277">
        <v>10</v>
      </c>
      <c r="G168" s="249">
        <v>60</v>
      </c>
      <c r="H168" s="249">
        <v>108</v>
      </c>
      <c r="I168" s="249">
        <v>32</v>
      </c>
      <c r="J168" s="249">
        <v>28</v>
      </c>
      <c r="K168" s="249">
        <v>6</v>
      </c>
      <c r="L168" s="249"/>
      <c r="M168" s="310">
        <v>2</v>
      </c>
      <c r="N168" s="230">
        <f t="shared" si="115"/>
        <v>244</v>
      </c>
      <c r="O168" s="300">
        <f t="shared" si="104"/>
        <v>30</v>
      </c>
      <c r="P168" s="301"/>
      <c r="Q168" s="247" t="str">
        <f t="shared" si="116"/>
        <v>NO</v>
      </c>
      <c r="R168" s="613" t="str">
        <f t="shared" si="117"/>
        <v/>
      </c>
      <c r="T168" s="583"/>
    </row>
    <row r="169" spans="1:22" ht="16.95" customHeight="1" thickBot="1" x14ac:dyDescent="0.35">
      <c r="A169" s="689" t="s">
        <v>213</v>
      </c>
      <c r="B169" s="331" t="s">
        <v>252</v>
      </c>
      <c r="C169" s="546" t="s">
        <v>220</v>
      </c>
      <c r="D169" s="228">
        <v>1983</v>
      </c>
      <c r="E169" s="546" t="s">
        <v>17</v>
      </c>
      <c r="F169" s="277">
        <v>0</v>
      </c>
      <c r="G169" s="249">
        <v>40</v>
      </c>
      <c r="H169" s="249">
        <v>81</v>
      </c>
      <c r="I169" s="249">
        <v>56</v>
      </c>
      <c r="J169" s="249">
        <v>56</v>
      </c>
      <c r="K169" s="249">
        <v>6</v>
      </c>
      <c r="L169" s="249"/>
      <c r="M169" s="310">
        <v>1</v>
      </c>
      <c r="N169" s="230">
        <f t="shared" si="115"/>
        <v>239</v>
      </c>
      <c r="O169" s="300">
        <f t="shared" si="104"/>
        <v>30</v>
      </c>
      <c r="P169" s="301"/>
      <c r="Q169" s="247" t="str">
        <f t="shared" si="116"/>
        <v>NO</v>
      </c>
      <c r="R169" s="613" t="str">
        <f t="shared" si="117"/>
        <v/>
      </c>
      <c r="T169" s="583"/>
    </row>
    <row r="170" spans="1:22" ht="16.95" customHeight="1" thickBot="1" x14ac:dyDescent="0.35">
      <c r="A170" s="689" t="s">
        <v>213</v>
      </c>
      <c r="B170" s="331" t="s">
        <v>293</v>
      </c>
      <c r="C170" s="395" t="s">
        <v>374</v>
      </c>
      <c r="D170" s="287" t="s">
        <v>245</v>
      </c>
      <c r="E170" s="546" t="s">
        <v>17</v>
      </c>
      <c r="F170" s="277">
        <v>10</v>
      </c>
      <c r="G170" s="249">
        <v>40</v>
      </c>
      <c r="H170" s="249">
        <v>63</v>
      </c>
      <c r="I170" s="249">
        <v>40</v>
      </c>
      <c r="J170" s="249">
        <v>35</v>
      </c>
      <c r="K170" s="249">
        <v>24</v>
      </c>
      <c r="L170" s="249"/>
      <c r="M170" s="310">
        <v>4</v>
      </c>
      <c r="N170" s="230">
        <f t="shared" si="115"/>
        <v>212</v>
      </c>
      <c r="O170" s="300">
        <f t="shared" si="104"/>
        <v>30</v>
      </c>
      <c r="P170" s="301"/>
      <c r="Q170" s="247" t="str">
        <f t="shared" si="116"/>
        <v>NO</v>
      </c>
      <c r="R170" s="613" t="str">
        <f t="shared" si="117"/>
        <v/>
      </c>
      <c r="T170" s="583"/>
    </row>
    <row r="171" spans="1:22" ht="16.95" customHeight="1" thickBot="1" x14ac:dyDescent="0.35">
      <c r="A171" s="689" t="s">
        <v>213</v>
      </c>
      <c r="B171" s="331" t="s">
        <v>277</v>
      </c>
      <c r="C171" s="653" t="s">
        <v>221</v>
      </c>
      <c r="D171" s="301">
        <v>1984</v>
      </c>
      <c r="E171" s="546" t="s">
        <v>17</v>
      </c>
      <c r="F171" s="277">
        <v>10</v>
      </c>
      <c r="G171" s="249">
        <v>30</v>
      </c>
      <c r="H171" s="249">
        <v>45</v>
      </c>
      <c r="I171" s="249">
        <v>48</v>
      </c>
      <c r="J171" s="249">
        <v>49</v>
      </c>
      <c r="K171" s="249">
        <v>12</v>
      </c>
      <c r="L171" s="249">
        <v>15</v>
      </c>
      <c r="M171" s="310">
        <v>3</v>
      </c>
      <c r="N171" s="230">
        <f t="shared" si="115"/>
        <v>209</v>
      </c>
      <c r="O171" s="300">
        <f t="shared" si="104"/>
        <v>30</v>
      </c>
      <c r="P171" s="301"/>
      <c r="Q171" s="247" t="str">
        <f t="shared" si="116"/>
        <v>NO</v>
      </c>
      <c r="R171" s="613" t="str">
        <f t="shared" si="117"/>
        <v/>
      </c>
      <c r="T171" s="583" t="str">
        <f>IF(O171=0,"",IF(O171=30,"","Shot count Error"))</f>
        <v/>
      </c>
    </row>
    <row r="172" spans="1:22" ht="16.95" customHeight="1" thickBot="1" x14ac:dyDescent="0.35">
      <c r="A172" s="689" t="s">
        <v>213</v>
      </c>
      <c r="B172" s="978" t="s">
        <v>238</v>
      </c>
      <c r="C172" s="396" t="s">
        <v>195</v>
      </c>
      <c r="D172" s="44">
        <v>2454</v>
      </c>
      <c r="E172" s="546" t="s">
        <v>17</v>
      </c>
      <c r="F172" s="277">
        <v>0</v>
      </c>
      <c r="G172" s="249">
        <v>20</v>
      </c>
      <c r="H172" s="249">
        <v>72</v>
      </c>
      <c r="I172" s="249">
        <v>56</v>
      </c>
      <c r="J172" s="249">
        <v>7</v>
      </c>
      <c r="K172" s="249">
        <v>12</v>
      </c>
      <c r="L172" s="249"/>
      <c r="M172" s="310">
        <v>10</v>
      </c>
      <c r="N172" s="230">
        <f t="shared" si="115"/>
        <v>167</v>
      </c>
      <c r="O172" s="300">
        <f t="shared" si="104"/>
        <v>30</v>
      </c>
      <c r="P172" s="301"/>
      <c r="Q172" s="1099" t="str">
        <f t="shared" si="116"/>
        <v>NO</v>
      </c>
      <c r="R172" s="1100" t="str">
        <f t="shared" si="117"/>
        <v/>
      </c>
      <c r="T172" s="583" t="str">
        <f t="shared" ref="T172" si="118">IF(O172=0,"",IF(O172=30,"","Shot count Error"))</f>
        <v/>
      </c>
    </row>
    <row r="173" spans="1:22" ht="24.6" customHeight="1" thickTop="1" thickBot="1" x14ac:dyDescent="0.35">
      <c r="B173" s="976">
        <f>COUNTA(B138:B172)</f>
        <v>22</v>
      </c>
      <c r="C173" s="737" t="s">
        <v>71</v>
      </c>
      <c r="D173" s="1149" t="s">
        <v>73</v>
      </c>
      <c r="E173" s="1150"/>
      <c r="F173" s="1150"/>
      <c r="G173" s="1150"/>
      <c r="H173" s="1150"/>
      <c r="I173" s="1150"/>
      <c r="J173" s="1150"/>
      <c r="K173" s="1150"/>
      <c r="L173" s="1150"/>
      <c r="M173" s="1150"/>
      <c r="N173" s="1150"/>
      <c r="O173" s="1151"/>
      <c r="R173" s="196"/>
      <c r="T173" s="585" t="str">
        <f>IF(O173=0,"",IF(O173=30,"","Shot count Error"))</f>
        <v/>
      </c>
    </row>
    <row r="174" spans="1:22" ht="16.95" customHeight="1" thickBot="1" x14ac:dyDescent="0.35">
      <c r="T174" s="585"/>
    </row>
    <row r="175" spans="1:22" ht="23.4" customHeight="1" thickBot="1" x14ac:dyDescent="0.35">
      <c r="C175" s="1117" t="s">
        <v>235</v>
      </c>
      <c r="D175" s="1118"/>
      <c r="E175" s="1118"/>
      <c r="F175" s="1118"/>
      <c r="G175" s="1118"/>
      <c r="H175" s="1118"/>
      <c r="I175" s="1118"/>
      <c r="J175" s="1119"/>
      <c r="K175" s="1115" t="s">
        <v>182</v>
      </c>
      <c r="L175" s="1116"/>
      <c r="M175" s="598">
        <v>30</v>
      </c>
      <c r="N175" s="1120" t="s">
        <v>189</v>
      </c>
      <c r="O175" s="1121"/>
      <c r="P175" s="1122">
        <v>300</v>
      </c>
      <c r="Q175" s="1123"/>
      <c r="R175" s="599"/>
      <c r="S175" s="196"/>
      <c r="T175" s="1126" t="s">
        <v>185</v>
      </c>
    </row>
    <row r="176" spans="1:22" ht="24.6" customHeight="1" thickBot="1" x14ac:dyDescent="0.35">
      <c r="B176" s="535" t="s">
        <v>154</v>
      </c>
      <c r="C176" s="258" t="s">
        <v>0</v>
      </c>
      <c r="D176" s="1004" t="s">
        <v>1</v>
      </c>
      <c r="E176" s="200" t="s">
        <v>2</v>
      </c>
      <c r="F176" s="201" t="s">
        <v>48</v>
      </c>
      <c r="G176" s="202">
        <v>10</v>
      </c>
      <c r="H176" s="202">
        <v>9</v>
      </c>
      <c r="I176" s="202">
        <v>8</v>
      </c>
      <c r="J176" s="202">
        <v>7</v>
      </c>
      <c r="K176" s="202">
        <v>6</v>
      </c>
      <c r="L176" s="1002">
        <v>5</v>
      </c>
      <c r="M176" s="204">
        <v>0</v>
      </c>
      <c r="N176" s="297" t="s">
        <v>9</v>
      </c>
      <c r="O176" s="560" t="s">
        <v>49</v>
      </c>
      <c r="P176" s="196"/>
      <c r="Q176" s="426" t="s">
        <v>59</v>
      </c>
      <c r="R176" s="319" t="s">
        <v>60</v>
      </c>
      <c r="S176" s="196"/>
      <c r="T176" s="1127"/>
    </row>
    <row r="177" spans="1:20" ht="16.95" hidden="1" customHeight="1" thickBot="1" x14ac:dyDescent="0.35">
      <c r="A177" s="689" t="s">
        <v>149</v>
      </c>
      <c r="B177" s="200"/>
      <c r="C177" s="397" t="s">
        <v>192</v>
      </c>
      <c r="D177" s="968">
        <v>2434</v>
      </c>
      <c r="E177" s="332" t="s">
        <v>18</v>
      </c>
      <c r="F177" s="1003"/>
      <c r="G177" s="243"/>
      <c r="H177" s="243"/>
      <c r="I177" s="243"/>
      <c r="J177" s="243"/>
      <c r="K177" s="243"/>
      <c r="L177" s="243"/>
      <c r="M177" s="310"/>
      <c r="N177" s="208">
        <f t="shared" ref="N177:N187" si="119">SUM($F177:$L177)</f>
        <v>0</v>
      </c>
      <c r="O177" s="260">
        <f t="shared" ref="O177:O183" si="120">(F177/10)+(G177/10)+(H177/9)+(I177/8)+(J177/7)+(K177/6)+(L177/5)+M177</f>
        <v>0</v>
      </c>
      <c r="Q177" s="1171"/>
      <c r="R177" s="1172"/>
      <c r="T177" s="583" t="str">
        <f t="shared" ref="T177:T178" si="121">IF(O177=0,"",IF(O177=30,"","Shot count Error"))</f>
        <v/>
      </c>
    </row>
    <row r="178" spans="1:20" ht="16.95" hidden="1" customHeight="1" thickBot="1" x14ac:dyDescent="0.35">
      <c r="A178" s="689" t="s">
        <v>149</v>
      </c>
      <c r="B178" s="200"/>
      <c r="C178" s="546" t="s">
        <v>147</v>
      </c>
      <c r="D178" s="254">
        <v>2149</v>
      </c>
      <c r="E178" s="329" t="s">
        <v>18</v>
      </c>
      <c r="F178" s="248"/>
      <c r="G178" s="249"/>
      <c r="H178" s="249"/>
      <c r="I178" s="249"/>
      <c r="J178" s="249"/>
      <c r="K178" s="249"/>
      <c r="L178" s="249"/>
      <c r="M178" s="310"/>
      <c r="N178" s="215">
        <f t="shared" si="119"/>
        <v>0</v>
      </c>
      <c r="O178" s="265">
        <f t="shared" si="120"/>
        <v>0</v>
      </c>
      <c r="Q178" s="1171"/>
      <c r="R178" s="1172"/>
      <c r="T178" s="583" t="str">
        <f t="shared" si="121"/>
        <v/>
      </c>
    </row>
    <row r="179" spans="1:20" ht="16.95" hidden="1" customHeight="1" thickBot="1" x14ac:dyDescent="0.35">
      <c r="A179" s="689" t="s">
        <v>149</v>
      </c>
      <c r="B179" s="330"/>
      <c r="C179" s="396" t="s">
        <v>198</v>
      </c>
      <c r="D179" s="232">
        <v>3624</v>
      </c>
      <c r="E179" s="329" t="s">
        <v>18</v>
      </c>
      <c r="F179" s="216"/>
      <c r="G179" s="217"/>
      <c r="H179" s="217"/>
      <c r="I179" s="217"/>
      <c r="J179" s="217"/>
      <c r="K179" s="217"/>
      <c r="L179" s="217"/>
      <c r="M179" s="552"/>
      <c r="N179" s="215">
        <f t="shared" si="119"/>
        <v>0</v>
      </c>
      <c r="O179" s="265">
        <f t="shared" si="120"/>
        <v>0</v>
      </c>
      <c r="Q179" s="1171"/>
      <c r="R179" s="1172"/>
      <c r="T179" s="583" t="str">
        <f>IF(O179=0,"",IF(O179=30,"","Shot count Error"))</f>
        <v/>
      </c>
    </row>
    <row r="180" spans="1:20" ht="16.95" customHeight="1" thickBot="1" x14ac:dyDescent="0.35">
      <c r="B180" s="330"/>
      <c r="C180" s="206" t="s">
        <v>147</v>
      </c>
      <c r="D180" s="968">
        <v>2149</v>
      </c>
      <c r="E180" s="206" t="s">
        <v>18</v>
      </c>
      <c r="F180" s="464">
        <v>50</v>
      </c>
      <c r="G180" s="223">
        <v>210</v>
      </c>
      <c r="H180" s="223">
        <v>36</v>
      </c>
      <c r="I180" s="223"/>
      <c r="J180" s="223"/>
      <c r="K180" s="223"/>
      <c r="L180" s="223"/>
      <c r="M180" s="1102"/>
      <c r="N180" s="1101">
        <f>SUM($F180:$L180)</f>
        <v>296</v>
      </c>
      <c r="O180" s="231">
        <f t="shared" ref="O180" si="122">(F180/10)+(G180/10)+(H180/9)+(I180/8)+(J180/7)+(K180/6)+(L180/5)+M180</f>
        <v>30</v>
      </c>
      <c r="P180" s="233"/>
      <c r="Q180" s="401" t="str">
        <f>IF(N180&gt;297,"Yes","NO")</f>
        <v>NO</v>
      </c>
      <c r="R180" s="965" t="str">
        <f>IF(Q180="yes","HM","")</f>
        <v/>
      </c>
      <c r="T180" s="583"/>
    </row>
    <row r="181" spans="1:20" ht="16.95" customHeight="1" thickBot="1" x14ac:dyDescent="0.35">
      <c r="B181" s="330"/>
      <c r="C181" s="397" t="s">
        <v>192</v>
      </c>
      <c r="D181" s="1055">
        <v>2434</v>
      </c>
      <c r="E181" s="397" t="s">
        <v>14</v>
      </c>
      <c r="F181" s="262">
        <v>90</v>
      </c>
      <c r="G181" s="210">
        <v>160</v>
      </c>
      <c r="H181" s="210">
        <v>36</v>
      </c>
      <c r="I181" s="210">
        <v>8</v>
      </c>
      <c r="J181" s="210"/>
      <c r="K181" s="210"/>
      <c r="L181" s="210"/>
      <c r="M181" s="847"/>
      <c r="N181" s="1103">
        <f>SUM($F181:$L181)</f>
        <v>294</v>
      </c>
      <c r="O181" s="213">
        <f t="shared" si="120"/>
        <v>30</v>
      </c>
      <c r="P181" s="233"/>
      <c r="Q181" s="401" t="str">
        <f>IF(N181&gt;297,"Yes","NO")</f>
        <v>NO</v>
      </c>
      <c r="R181" s="965" t="str">
        <f>IF(Q181="yes","HM","")</f>
        <v/>
      </c>
      <c r="T181" s="583"/>
    </row>
    <row r="182" spans="1:20" ht="16.95" customHeight="1" thickBot="1" x14ac:dyDescent="0.35">
      <c r="B182" s="329" t="s">
        <v>353</v>
      </c>
      <c r="C182" s="396" t="s">
        <v>206</v>
      </c>
      <c r="D182" s="993">
        <v>1041</v>
      </c>
      <c r="E182" s="796" t="s">
        <v>14</v>
      </c>
      <c r="F182" s="277">
        <v>80</v>
      </c>
      <c r="G182" s="249">
        <v>130</v>
      </c>
      <c r="H182" s="249">
        <v>81</v>
      </c>
      <c r="I182" s="249"/>
      <c r="J182" s="249"/>
      <c r="K182" s="249"/>
      <c r="L182" s="249"/>
      <c r="M182" s="848"/>
      <c r="N182" s="1045">
        <f>SUM($F182:$L182)</f>
        <v>291</v>
      </c>
      <c r="O182" s="250">
        <f t="shared" si="120"/>
        <v>30</v>
      </c>
      <c r="P182" s="301"/>
      <c r="Q182" s="302" t="str">
        <f>IF(N182&gt;297,"Yes","NO")</f>
        <v>NO</v>
      </c>
      <c r="R182" s="868" t="str">
        <f>IF(Q182="yes","HM","")</f>
        <v/>
      </c>
      <c r="T182" s="583" t="str">
        <f>IF(O182=0,"",IF(O182=30,"","Shot count Error"))</f>
        <v/>
      </c>
    </row>
    <row r="183" spans="1:20" ht="16.95" customHeight="1" thickBot="1" x14ac:dyDescent="0.35">
      <c r="A183" s="689" t="s">
        <v>149</v>
      </c>
      <c r="B183" s="324" t="s">
        <v>311</v>
      </c>
      <c r="C183" s="398" t="s">
        <v>131</v>
      </c>
      <c r="D183" s="274">
        <v>1194</v>
      </c>
      <c r="E183" s="307" t="s">
        <v>14</v>
      </c>
      <c r="F183" s="274">
        <v>30</v>
      </c>
      <c r="G183" s="236">
        <v>150</v>
      </c>
      <c r="H183" s="236">
        <v>81</v>
      </c>
      <c r="I183" s="236">
        <v>24</v>
      </c>
      <c r="J183" s="236"/>
      <c r="K183" s="236"/>
      <c r="L183" s="236"/>
      <c r="M183" s="849"/>
      <c r="N183" s="1104">
        <f>SUM($F183:$L183)</f>
        <v>285</v>
      </c>
      <c r="O183" s="239">
        <f t="shared" si="120"/>
        <v>30</v>
      </c>
      <c r="P183" s="301"/>
      <c r="Q183" s="302" t="str">
        <f>IF(N183&gt;297,"Yes","NO")</f>
        <v>NO</v>
      </c>
      <c r="R183" s="868" t="str">
        <f>IF(Q183="yes","HM","")</f>
        <v/>
      </c>
      <c r="T183" s="583" t="str">
        <f>IF(O183=0,"",IF(O183=30,"","Shot count Error"))</f>
        <v/>
      </c>
    </row>
    <row r="184" spans="1:20" ht="16.95" hidden="1" customHeight="1" thickBot="1" x14ac:dyDescent="0.35">
      <c r="A184" s="689" t="s">
        <v>149</v>
      </c>
      <c r="B184" s="325"/>
      <c r="C184" s="395" t="s">
        <v>199</v>
      </c>
      <c r="D184" s="292">
        <v>506</v>
      </c>
      <c r="E184" s="803" t="s">
        <v>14</v>
      </c>
      <c r="F184" s="292"/>
      <c r="G184" s="243"/>
      <c r="H184" s="243"/>
      <c r="I184" s="243"/>
      <c r="J184" s="243"/>
      <c r="K184" s="243"/>
      <c r="L184" s="243"/>
      <c r="M184" s="966"/>
      <c r="N184" s="242">
        <f t="shared" si="119"/>
        <v>0</v>
      </c>
      <c r="O184" s="245">
        <f t="shared" ref="O184:O187" si="123">(F184/10)+(G184/10)+(H184/9)+(I184/8)+(J184/7)+(K184/6)+(L184/5)+M184</f>
        <v>0</v>
      </c>
      <c r="P184" s="301"/>
      <c r="Q184" s="302" t="str">
        <f t="shared" ref="Q184:Q187" si="124">IF(N184&gt;297,"Yes","NO")</f>
        <v>NO</v>
      </c>
      <c r="R184" s="868" t="str">
        <f t="shared" ref="R184:R187" si="125">IF(Q184="yes","HM","")</f>
        <v/>
      </c>
      <c r="T184" s="583" t="str">
        <f t="shared" ref="T184:T185" si="126">IF(O184=0,"",IF(O184=30,"","Shot count Error"))</f>
        <v/>
      </c>
    </row>
    <row r="185" spans="1:20" ht="16.95" hidden="1" customHeight="1" thickBot="1" x14ac:dyDescent="0.35">
      <c r="A185" s="689" t="s">
        <v>149</v>
      </c>
      <c r="B185" s="331"/>
      <c r="C185" s="546" t="s">
        <v>167</v>
      </c>
      <c r="D185" s="277">
        <v>1821</v>
      </c>
      <c r="E185" s="796" t="s">
        <v>14</v>
      </c>
      <c r="F185" s="277"/>
      <c r="G185" s="249"/>
      <c r="H185" s="249"/>
      <c r="I185" s="249"/>
      <c r="J185" s="249"/>
      <c r="K185" s="249"/>
      <c r="L185" s="249"/>
      <c r="M185" s="865"/>
      <c r="N185" s="230">
        <f t="shared" si="119"/>
        <v>0</v>
      </c>
      <c r="O185" s="250">
        <f t="shared" si="123"/>
        <v>0</v>
      </c>
      <c r="P185" s="301"/>
      <c r="Q185" s="302" t="str">
        <f t="shared" si="124"/>
        <v>NO</v>
      </c>
      <c r="R185" s="868" t="str">
        <f t="shared" si="125"/>
        <v/>
      </c>
      <c r="T185" s="583" t="str">
        <f t="shared" si="126"/>
        <v/>
      </c>
    </row>
    <row r="186" spans="1:20" ht="16.95" hidden="1" customHeight="1" thickBot="1" x14ac:dyDescent="0.35">
      <c r="A186" s="689" t="s">
        <v>149</v>
      </c>
      <c r="B186" s="331"/>
      <c r="C186" s="546" t="s">
        <v>112</v>
      </c>
      <c r="D186" s="277">
        <v>2021</v>
      </c>
      <c r="E186" s="796" t="s">
        <v>14</v>
      </c>
      <c r="F186" s="277"/>
      <c r="G186" s="249"/>
      <c r="H186" s="249"/>
      <c r="I186" s="249"/>
      <c r="J186" s="249"/>
      <c r="K186" s="249"/>
      <c r="L186" s="249"/>
      <c r="M186" s="865"/>
      <c r="N186" s="230">
        <f t="shared" si="119"/>
        <v>0</v>
      </c>
      <c r="O186" s="250">
        <f t="shared" si="123"/>
        <v>0</v>
      </c>
      <c r="P186" s="301"/>
      <c r="Q186" s="302" t="str">
        <f t="shared" si="124"/>
        <v>NO</v>
      </c>
      <c r="R186" s="868" t="str">
        <f t="shared" si="125"/>
        <v/>
      </c>
      <c r="T186" s="583" t="str">
        <f>IF(O186=0,"",IF(O186=30,"","Shot count Error"))</f>
        <v/>
      </c>
    </row>
    <row r="187" spans="1:20" ht="16.95" hidden="1" customHeight="1" thickBot="1" x14ac:dyDescent="0.35">
      <c r="A187" s="689" t="s">
        <v>149</v>
      </c>
      <c r="B187" s="329"/>
      <c r="C187" s="396" t="s">
        <v>172</v>
      </c>
      <c r="D187" s="87">
        <v>1628</v>
      </c>
      <c r="E187" s="840" t="s">
        <v>14</v>
      </c>
      <c r="F187" s="264"/>
      <c r="G187" s="217"/>
      <c r="H187" s="217"/>
      <c r="I187" s="217"/>
      <c r="J187" s="217"/>
      <c r="K187" s="217"/>
      <c r="L187" s="217"/>
      <c r="M187" s="964"/>
      <c r="N187" s="215">
        <f t="shared" si="119"/>
        <v>0</v>
      </c>
      <c r="O187" s="231">
        <f t="shared" si="123"/>
        <v>0</v>
      </c>
      <c r="P187" s="233"/>
      <c r="Q187" s="401" t="str">
        <f t="shared" si="124"/>
        <v>NO</v>
      </c>
      <c r="R187" s="965" t="str">
        <f t="shared" si="125"/>
        <v/>
      </c>
      <c r="T187" s="583" t="str">
        <f>IF(O187=0,"",IF(O187=30,"","Shot count Error"))</f>
        <v/>
      </c>
    </row>
    <row r="188" spans="1:20" ht="16.95" customHeight="1" thickBot="1" x14ac:dyDescent="0.35">
      <c r="A188" s="689" t="s">
        <v>149</v>
      </c>
      <c r="B188" s="323"/>
      <c r="C188" s="394" t="s">
        <v>372</v>
      </c>
      <c r="D188" s="262">
        <v>169</v>
      </c>
      <c r="E188" s="841" t="s">
        <v>15</v>
      </c>
      <c r="F188" s="262">
        <v>150</v>
      </c>
      <c r="G188" s="210">
        <v>140</v>
      </c>
      <c r="H188" s="210">
        <v>9</v>
      </c>
      <c r="I188" s="210"/>
      <c r="J188" s="210"/>
      <c r="K188" s="210"/>
      <c r="L188" s="210"/>
      <c r="M188" s="864"/>
      <c r="N188" s="208">
        <f t="shared" ref="N188:N223" si="127">SUM($F188:$L188)</f>
        <v>299</v>
      </c>
      <c r="O188" s="229">
        <f t="shared" ref="O188:O223" si="128">(F188/10)+(G188/10)+(H188/9)+(I188/8)+(J188/7)+(K188/6)+(L188/5)+M188</f>
        <v>30</v>
      </c>
      <c r="P188" s="469"/>
      <c r="Q188" s="870" t="str">
        <f t="shared" ref="Q188:Q193" si="129">IF(N188&gt;294,"Yes","NO")</f>
        <v>Yes</v>
      </c>
      <c r="R188" s="867" t="str">
        <f>IF(Q188="yes","HM","")</f>
        <v>HM</v>
      </c>
      <c r="T188" s="583" t="str">
        <f>IF(O188=0,"",IF(O188=30,"","Shot count Error"))</f>
        <v/>
      </c>
    </row>
    <row r="189" spans="1:20" ht="16.95" hidden="1" customHeight="1" thickBot="1" x14ac:dyDescent="0.35">
      <c r="A189" s="689" t="s">
        <v>149</v>
      </c>
      <c r="B189" s="331"/>
      <c r="C189" s="546" t="s">
        <v>76</v>
      </c>
      <c r="D189" s="277">
        <v>1549</v>
      </c>
      <c r="E189" s="796" t="s">
        <v>15</v>
      </c>
      <c r="F189" s="277"/>
      <c r="G189" s="249"/>
      <c r="H189" s="249"/>
      <c r="I189" s="249"/>
      <c r="J189" s="249"/>
      <c r="K189" s="249"/>
      <c r="L189" s="249"/>
      <c r="M189" s="865"/>
      <c r="N189" s="230">
        <f t="shared" si="127"/>
        <v>0</v>
      </c>
      <c r="O189" s="250">
        <f t="shared" si="128"/>
        <v>0</v>
      </c>
      <c r="P189" s="301"/>
      <c r="Q189" s="302" t="str">
        <f t="shared" si="129"/>
        <v>NO</v>
      </c>
      <c r="R189" s="868" t="str">
        <f t="shared" ref="R189:R193" si="130">IF(Q189="yes","M","")</f>
        <v/>
      </c>
      <c r="T189" s="583" t="str">
        <f t="shared" ref="T189" si="131">IF(O189=0,"",IF(O189=30,"","Shot count Error"))</f>
        <v/>
      </c>
    </row>
    <row r="190" spans="1:20" ht="16.95" hidden="1" customHeight="1" thickBot="1" x14ac:dyDescent="0.35">
      <c r="A190" s="689" t="s">
        <v>149</v>
      </c>
      <c r="B190" s="331"/>
      <c r="C190" s="546" t="s">
        <v>218</v>
      </c>
      <c r="D190" s="277">
        <v>1256</v>
      </c>
      <c r="E190" s="796" t="s">
        <v>15</v>
      </c>
      <c r="F190" s="277"/>
      <c r="G190" s="249"/>
      <c r="H190" s="249"/>
      <c r="I190" s="249"/>
      <c r="J190" s="249"/>
      <c r="K190" s="249"/>
      <c r="L190" s="249"/>
      <c r="M190" s="865"/>
      <c r="N190" s="230">
        <f t="shared" si="127"/>
        <v>0</v>
      </c>
      <c r="O190" s="250">
        <f t="shared" si="128"/>
        <v>0</v>
      </c>
      <c r="P190" s="301"/>
      <c r="Q190" s="302" t="str">
        <f t="shared" si="129"/>
        <v>NO</v>
      </c>
      <c r="R190" s="868" t="str">
        <f t="shared" si="130"/>
        <v/>
      </c>
      <c r="T190" s="583" t="str">
        <f>IF(O190=0,"",IF(O190=30,"","Shot count Error"))</f>
        <v/>
      </c>
    </row>
    <row r="191" spans="1:20" ht="16.95" customHeight="1" thickBot="1" x14ac:dyDescent="0.35">
      <c r="A191" s="689" t="s">
        <v>149</v>
      </c>
      <c r="B191" s="331" t="s">
        <v>300</v>
      </c>
      <c r="C191" s="546" t="s">
        <v>110</v>
      </c>
      <c r="D191" s="277">
        <v>1465</v>
      </c>
      <c r="E191" s="796" t="s">
        <v>15</v>
      </c>
      <c r="F191" s="277">
        <v>90</v>
      </c>
      <c r="G191" s="249">
        <v>140</v>
      </c>
      <c r="H191" s="249">
        <v>54</v>
      </c>
      <c r="I191" s="249">
        <v>8</v>
      </c>
      <c r="J191" s="249"/>
      <c r="K191" s="249"/>
      <c r="L191" s="249"/>
      <c r="M191" s="865"/>
      <c r="N191" s="230">
        <f t="shared" si="127"/>
        <v>292</v>
      </c>
      <c r="O191" s="250">
        <f t="shared" si="128"/>
        <v>30</v>
      </c>
      <c r="P191" s="301"/>
      <c r="Q191" s="302" t="str">
        <f t="shared" si="129"/>
        <v>NO</v>
      </c>
      <c r="R191" s="868" t="str">
        <f t="shared" si="130"/>
        <v/>
      </c>
      <c r="T191" s="583" t="str">
        <f>IF(O191=0,"",IF(O191=30,"","Shot count Error"))</f>
        <v/>
      </c>
    </row>
    <row r="192" spans="1:20" ht="16.95" customHeight="1" thickBot="1" x14ac:dyDescent="0.35">
      <c r="B192" s="329"/>
      <c r="C192" s="396" t="s">
        <v>218</v>
      </c>
      <c r="D192" s="264">
        <v>1256</v>
      </c>
      <c r="E192" s="796" t="s">
        <v>15</v>
      </c>
      <c r="F192" s="277">
        <v>30</v>
      </c>
      <c r="G192" s="249">
        <v>90</v>
      </c>
      <c r="H192" s="249">
        <v>135</v>
      </c>
      <c r="I192" s="249">
        <v>16</v>
      </c>
      <c r="J192" s="249">
        <v>7</v>
      </c>
      <c r="K192" s="249"/>
      <c r="L192" s="249"/>
      <c r="M192" s="865"/>
      <c r="N192" s="230">
        <f t="shared" si="127"/>
        <v>278</v>
      </c>
      <c r="O192" s="250">
        <f t="shared" ref="O192" si="132">(F192/10)+(G192/10)+(H192/9)+(I192/8)+(J192/7)+(K192/6)+(L192/5)+M192</f>
        <v>30</v>
      </c>
      <c r="P192" s="301"/>
      <c r="Q192" s="302" t="str">
        <f t="shared" ref="Q192" si="133">IF(N192&gt;294,"Yes","NO")</f>
        <v>NO</v>
      </c>
      <c r="R192" s="868" t="str">
        <f t="shared" ref="R192" si="134">IF(Q192="yes","M","")</f>
        <v/>
      </c>
      <c r="T192" s="583"/>
    </row>
    <row r="193" spans="1:22" ht="16.95" customHeight="1" thickBot="1" x14ac:dyDescent="0.35">
      <c r="B193" s="329" t="s">
        <v>312</v>
      </c>
      <c r="C193" s="396" t="s">
        <v>201</v>
      </c>
      <c r="D193" s="264">
        <v>1143</v>
      </c>
      <c r="E193" s="796" t="s">
        <v>15</v>
      </c>
      <c r="F193" s="277">
        <v>20</v>
      </c>
      <c r="G193" s="249">
        <v>80</v>
      </c>
      <c r="H193" s="249">
        <v>117</v>
      </c>
      <c r="I193" s="249">
        <v>32</v>
      </c>
      <c r="J193" s="249">
        <v>14</v>
      </c>
      <c r="K193" s="249">
        <v>6</v>
      </c>
      <c r="L193" s="249"/>
      <c r="M193" s="865"/>
      <c r="N193" s="230">
        <f t="shared" si="127"/>
        <v>269</v>
      </c>
      <c r="O193" s="250">
        <f t="shared" si="128"/>
        <v>30</v>
      </c>
      <c r="P193" s="301"/>
      <c r="Q193" s="302" t="str">
        <f t="shared" si="129"/>
        <v>NO</v>
      </c>
      <c r="R193" s="868" t="str">
        <f t="shared" si="130"/>
        <v/>
      </c>
      <c r="T193" s="583" t="str">
        <f>IF(O193=0,"",IF(O193=30,"","Shot count Error"))</f>
        <v/>
      </c>
    </row>
    <row r="194" spans="1:22" ht="16.95" customHeight="1" thickBot="1" x14ac:dyDescent="0.35">
      <c r="A194" s="689" t="s">
        <v>149</v>
      </c>
      <c r="B194" s="323" t="s">
        <v>253</v>
      </c>
      <c r="C194" s="394" t="s">
        <v>333</v>
      </c>
      <c r="D194" s="262">
        <v>2466</v>
      </c>
      <c r="E194" s="841" t="s">
        <v>16</v>
      </c>
      <c r="F194" s="262">
        <v>80</v>
      </c>
      <c r="G194" s="210">
        <v>90</v>
      </c>
      <c r="H194" s="210">
        <v>117</v>
      </c>
      <c r="I194" s="210"/>
      <c r="J194" s="210"/>
      <c r="K194" s="210"/>
      <c r="L194" s="210"/>
      <c r="M194" s="864"/>
      <c r="N194" s="208">
        <f t="shared" si="127"/>
        <v>287</v>
      </c>
      <c r="O194" s="229">
        <f t="shared" si="128"/>
        <v>30</v>
      </c>
      <c r="P194" s="469"/>
      <c r="Q194" s="870" t="str">
        <f t="shared" ref="Q194:Q205" si="135">IF(N194&gt;284,"Yes","NO")</f>
        <v>Yes</v>
      </c>
      <c r="R194" s="867" t="str">
        <f t="shared" ref="R194:R205" si="136">IF(Q194="yes","G","")</f>
        <v>G</v>
      </c>
      <c r="T194" s="583" t="str">
        <f t="shared" ref="T194:T201" si="137">IF(O194=0,"",IF(O194=30,"","Shot count Error"))</f>
        <v/>
      </c>
    </row>
    <row r="195" spans="1:22" ht="16.95" customHeight="1" thickBot="1" x14ac:dyDescent="0.35">
      <c r="B195" s="325"/>
      <c r="C195" s="395" t="s">
        <v>225</v>
      </c>
      <c r="D195" s="292">
        <v>1268</v>
      </c>
      <c r="E195" s="803" t="s">
        <v>16</v>
      </c>
      <c r="F195" s="277">
        <v>70</v>
      </c>
      <c r="G195" s="249">
        <v>110</v>
      </c>
      <c r="H195" s="249">
        <v>90</v>
      </c>
      <c r="I195" s="249">
        <v>8</v>
      </c>
      <c r="J195" s="249">
        <v>7</v>
      </c>
      <c r="K195" s="249"/>
      <c r="L195" s="249"/>
      <c r="M195" s="865"/>
      <c r="N195" s="230">
        <f t="shared" si="127"/>
        <v>285</v>
      </c>
      <c r="O195" s="250">
        <f t="shared" ref="O195" si="138">(F195/10)+(G195/10)+(H195/9)+(I195/8)+(J195/7)+(K195/6)+(L195/5)+M195</f>
        <v>30</v>
      </c>
      <c r="P195" s="301"/>
      <c r="Q195" s="302" t="str">
        <f t="shared" ref="Q195" si="139">IF(N195&gt;284,"Yes","NO")</f>
        <v>Yes</v>
      </c>
      <c r="R195" s="868" t="str">
        <f t="shared" si="136"/>
        <v>G</v>
      </c>
      <c r="T195" s="583"/>
    </row>
    <row r="196" spans="1:22" ht="16.95" customHeight="1" thickBot="1" x14ac:dyDescent="0.35">
      <c r="B196" s="325"/>
      <c r="C196" s="395" t="s">
        <v>171</v>
      </c>
      <c r="D196" s="292">
        <v>1901</v>
      </c>
      <c r="E196" s="796" t="s">
        <v>16</v>
      </c>
      <c r="F196" s="277">
        <v>30</v>
      </c>
      <c r="G196" s="249">
        <v>110</v>
      </c>
      <c r="H196" s="249">
        <v>126</v>
      </c>
      <c r="I196" s="249">
        <v>8</v>
      </c>
      <c r="J196" s="249">
        <v>7</v>
      </c>
      <c r="K196" s="249"/>
      <c r="L196" s="249"/>
      <c r="M196" s="865"/>
      <c r="N196" s="230">
        <f t="shared" si="127"/>
        <v>281</v>
      </c>
      <c r="O196" s="250">
        <f t="shared" si="128"/>
        <v>30</v>
      </c>
      <c r="P196" s="301"/>
      <c r="Q196" s="302" t="str">
        <f t="shared" si="135"/>
        <v>NO</v>
      </c>
      <c r="R196" s="868" t="str">
        <f t="shared" si="136"/>
        <v/>
      </c>
      <c r="T196" s="583" t="str">
        <f t="shared" si="137"/>
        <v/>
      </c>
    </row>
    <row r="197" spans="1:22" ht="16.95" customHeight="1" thickBot="1" x14ac:dyDescent="0.35">
      <c r="B197" s="325" t="s">
        <v>305</v>
      </c>
      <c r="C197" s="395" t="s">
        <v>306</v>
      </c>
      <c r="D197" s="292">
        <v>1264</v>
      </c>
      <c r="E197" s="796" t="s">
        <v>16</v>
      </c>
      <c r="F197" s="277">
        <v>40</v>
      </c>
      <c r="G197" s="249">
        <v>100</v>
      </c>
      <c r="H197" s="249">
        <v>108</v>
      </c>
      <c r="I197" s="249">
        <v>8</v>
      </c>
      <c r="J197" s="249">
        <v>21</v>
      </c>
      <c r="K197" s="249"/>
      <c r="L197" s="249"/>
      <c r="M197" s="865"/>
      <c r="N197" s="230">
        <f t="shared" si="127"/>
        <v>277</v>
      </c>
      <c r="O197" s="250">
        <f t="shared" si="128"/>
        <v>30</v>
      </c>
      <c r="P197" s="301"/>
      <c r="Q197" s="545" t="str">
        <f t="shared" si="135"/>
        <v>NO</v>
      </c>
      <c r="R197" s="868" t="str">
        <f t="shared" si="136"/>
        <v/>
      </c>
      <c r="T197" s="583" t="str">
        <f t="shared" si="137"/>
        <v/>
      </c>
    </row>
    <row r="198" spans="1:22" ht="16.95" customHeight="1" thickBot="1" x14ac:dyDescent="0.35">
      <c r="A198" s="689" t="s">
        <v>149</v>
      </c>
      <c r="B198" s="331" t="s">
        <v>249</v>
      </c>
      <c r="C198" s="546" t="s">
        <v>343</v>
      </c>
      <c r="D198" s="277">
        <v>1618</v>
      </c>
      <c r="E198" s="796" t="s">
        <v>16</v>
      </c>
      <c r="F198" s="277">
        <v>30</v>
      </c>
      <c r="G198" s="249">
        <v>100</v>
      </c>
      <c r="H198" s="249">
        <v>99</v>
      </c>
      <c r="I198" s="249">
        <v>40</v>
      </c>
      <c r="J198" s="249">
        <v>7</v>
      </c>
      <c r="K198" s="249"/>
      <c r="L198" s="249"/>
      <c r="M198" s="865"/>
      <c r="N198" s="230">
        <f t="shared" si="127"/>
        <v>276</v>
      </c>
      <c r="O198" s="250">
        <f t="shared" si="128"/>
        <v>30</v>
      </c>
      <c r="P198" s="301"/>
      <c r="Q198" s="302" t="str">
        <f t="shared" si="135"/>
        <v>NO</v>
      </c>
      <c r="R198" s="868" t="str">
        <f t="shared" si="136"/>
        <v/>
      </c>
      <c r="T198" s="583" t="str">
        <f t="shared" si="137"/>
        <v/>
      </c>
    </row>
    <row r="199" spans="1:22" ht="16.95" customHeight="1" thickBot="1" x14ac:dyDescent="0.35">
      <c r="A199" s="689" t="s">
        <v>149</v>
      </c>
      <c r="B199" s="331" t="s">
        <v>34</v>
      </c>
      <c r="C199" s="546" t="s">
        <v>242</v>
      </c>
      <c r="D199" s="277">
        <v>1661</v>
      </c>
      <c r="E199" s="796" t="s">
        <v>16</v>
      </c>
      <c r="F199" s="277">
        <v>20</v>
      </c>
      <c r="G199" s="249">
        <v>90</v>
      </c>
      <c r="H199" s="249">
        <v>135</v>
      </c>
      <c r="I199" s="249">
        <v>24</v>
      </c>
      <c r="J199" s="249"/>
      <c r="K199" s="249">
        <v>6</v>
      </c>
      <c r="L199" s="249"/>
      <c r="M199" s="865"/>
      <c r="N199" s="230">
        <f t="shared" si="127"/>
        <v>275</v>
      </c>
      <c r="O199" s="250">
        <f t="shared" si="128"/>
        <v>30</v>
      </c>
      <c r="P199" s="301"/>
      <c r="Q199" s="302" t="str">
        <f t="shared" si="135"/>
        <v>NO</v>
      </c>
      <c r="R199" s="868" t="str">
        <f t="shared" si="136"/>
        <v/>
      </c>
      <c r="T199" s="583" t="str">
        <f t="shared" si="137"/>
        <v/>
      </c>
    </row>
    <row r="200" spans="1:22" ht="16.95" customHeight="1" thickBot="1" x14ac:dyDescent="0.35">
      <c r="A200" s="689" t="s">
        <v>149</v>
      </c>
      <c r="B200" s="331" t="s">
        <v>257</v>
      </c>
      <c r="C200" s="546" t="s">
        <v>219</v>
      </c>
      <c r="D200" s="277">
        <v>1982</v>
      </c>
      <c r="E200" s="796" t="s">
        <v>16</v>
      </c>
      <c r="F200" s="277">
        <v>40</v>
      </c>
      <c r="G200" s="249">
        <v>80</v>
      </c>
      <c r="H200" s="249">
        <v>72</v>
      </c>
      <c r="I200" s="249">
        <v>72</v>
      </c>
      <c r="J200" s="249">
        <v>7</v>
      </c>
      <c r="K200" s="249"/>
      <c r="L200" s="249"/>
      <c r="M200" s="865"/>
      <c r="N200" s="230">
        <f t="shared" si="127"/>
        <v>271</v>
      </c>
      <c r="O200" s="250">
        <f t="shared" si="128"/>
        <v>30</v>
      </c>
      <c r="P200" s="301"/>
      <c r="Q200" s="302" t="str">
        <f t="shared" si="135"/>
        <v>NO</v>
      </c>
      <c r="R200" s="868" t="str">
        <f t="shared" si="136"/>
        <v/>
      </c>
      <c r="T200" s="583" t="str">
        <f t="shared" si="137"/>
        <v/>
      </c>
    </row>
    <row r="201" spans="1:22" ht="16.95" customHeight="1" thickBot="1" x14ac:dyDescent="0.35">
      <c r="A201" s="689" t="s">
        <v>149</v>
      </c>
      <c r="B201" s="331" t="s">
        <v>284</v>
      </c>
      <c r="C201" s="546" t="s">
        <v>170</v>
      </c>
      <c r="D201" s="277">
        <v>1853</v>
      </c>
      <c r="E201" s="796" t="s">
        <v>16</v>
      </c>
      <c r="F201" s="277">
        <v>10</v>
      </c>
      <c r="G201" s="249">
        <v>90</v>
      </c>
      <c r="H201" s="249">
        <v>126</v>
      </c>
      <c r="I201" s="249">
        <v>24</v>
      </c>
      <c r="J201" s="249">
        <v>14</v>
      </c>
      <c r="K201" s="249">
        <v>6</v>
      </c>
      <c r="L201" s="249"/>
      <c r="M201" s="865"/>
      <c r="N201" s="230">
        <f t="shared" si="127"/>
        <v>270</v>
      </c>
      <c r="O201" s="250">
        <f t="shared" si="128"/>
        <v>30</v>
      </c>
      <c r="P201" s="301"/>
      <c r="Q201" s="302" t="str">
        <f t="shared" si="135"/>
        <v>NO</v>
      </c>
      <c r="R201" s="868" t="str">
        <f t="shared" si="136"/>
        <v/>
      </c>
      <c r="T201" s="583" t="str">
        <f t="shared" si="137"/>
        <v/>
      </c>
    </row>
    <row r="202" spans="1:22" ht="16.95" customHeight="1" thickBot="1" x14ac:dyDescent="0.35">
      <c r="A202" s="689" t="s">
        <v>149</v>
      </c>
      <c r="B202" s="331" t="s">
        <v>331</v>
      </c>
      <c r="C202" s="546" t="s">
        <v>161</v>
      </c>
      <c r="D202" s="277">
        <v>1629</v>
      </c>
      <c r="E202" s="796" t="s">
        <v>16</v>
      </c>
      <c r="F202" s="277">
        <v>30</v>
      </c>
      <c r="G202" s="249">
        <v>90</v>
      </c>
      <c r="H202" s="249">
        <v>54</v>
      </c>
      <c r="I202" s="249">
        <v>64</v>
      </c>
      <c r="J202" s="249">
        <v>14</v>
      </c>
      <c r="K202" s="249">
        <v>12</v>
      </c>
      <c r="L202" s="249"/>
      <c r="M202" s="865"/>
      <c r="N202" s="230">
        <f t="shared" si="127"/>
        <v>264</v>
      </c>
      <c r="O202" s="250">
        <f t="shared" si="128"/>
        <v>30</v>
      </c>
      <c r="P202" s="301"/>
      <c r="Q202" s="302" t="str">
        <f t="shared" si="135"/>
        <v>NO</v>
      </c>
      <c r="R202" s="868" t="str">
        <f t="shared" si="136"/>
        <v/>
      </c>
      <c r="T202" s="583" t="str">
        <f t="shared" ref="T202" si="140">IF(O202=0,"",IF(O202=30,"","Shot count Error"))</f>
        <v/>
      </c>
      <c r="V202" s="985"/>
    </row>
    <row r="203" spans="1:22" ht="16.95" customHeight="1" thickBot="1" x14ac:dyDescent="0.35">
      <c r="A203" s="689" t="s">
        <v>149</v>
      </c>
      <c r="B203" s="331" t="s">
        <v>279</v>
      </c>
      <c r="C203" s="546" t="s">
        <v>304</v>
      </c>
      <c r="D203" s="277">
        <v>1580</v>
      </c>
      <c r="E203" s="796" t="s">
        <v>16</v>
      </c>
      <c r="F203" s="277">
        <v>0</v>
      </c>
      <c r="G203" s="249">
        <v>20</v>
      </c>
      <c r="H203" s="249">
        <v>108</v>
      </c>
      <c r="I203" s="249">
        <v>40</v>
      </c>
      <c r="J203" s="249">
        <v>63</v>
      </c>
      <c r="K203" s="249">
        <v>12</v>
      </c>
      <c r="L203" s="249"/>
      <c r="M203" s="865"/>
      <c r="N203" s="230">
        <f t="shared" si="127"/>
        <v>243</v>
      </c>
      <c r="O203" s="250">
        <f t="shared" si="128"/>
        <v>30</v>
      </c>
      <c r="P203" s="301"/>
      <c r="Q203" s="302" t="str">
        <f t="shared" si="135"/>
        <v>NO</v>
      </c>
      <c r="R203" s="868" t="str">
        <f t="shared" si="136"/>
        <v/>
      </c>
      <c r="T203" s="583"/>
    </row>
    <row r="204" spans="1:22" ht="16.95" customHeight="1" thickBot="1" x14ac:dyDescent="0.35">
      <c r="A204" s="689" t="s">
        <v>149</v>
      </c>
      <c r="B204" s="331" t="s">
        <v>230</v>
      </c>
      <c r="C204" s="546" t="s">
        <v>229</v>
      </c>
      <c r="D204" s="277">
        <v>2157</v>
      </c>
      <c r="E204" s="796" t="s">
        <v>16</v>
      </c>
      <c r="F204" s="277"/>
      <c r="G204" s="249"/>
      <c r="H204" s="249"/>
      <c r="I204" s="249"/>
      <c r="J204" s="249"/>
      <c r="K204" s="249"/>
      <c r="L204" s="249"/>
      <c r="M204" s="865"/>
      <c r="N204" s="230">
        <f t="shared" si="127"/>
        <v>0</v>
      </c>
      <c r="O204" s="250">
        <f t="shared" si="128"/>
        <v>0</v>
      </c>
      <c r="P204" s="301"/>
      <c r="Q204" s="302" t="str">
        <f t="shared" si="135"/>
        <v>NO</v>
      </c>
      <c r="R204" s="868" t="str">
        <f t="shared" si="136"/>
        <v/>
      </c>
      <c r="T204" s="583" t="str">
        <f t="shared" ref="T204" si="141">IF(O204=0,"",IF(O204=30,"","Shot count Error"))</f>
        <v/>
      </c>
    </row>
    <row r="205" spans="1:22" ht="16.95" customHeight="1" thickBot="1" x14ac:dyDescent="0.35">
      <c r="A205" s="689" t="s">
        <v>149</v>
      </c>
      <c r="B205" s="324" t="s">
        <v>296</v>
      </c>
      <c r="C205" s="398" t="s">
        <v>224</v>
      </c>
      <c r="D205" s="274">
        <v>723</v>
      </c>
      <c r="E205" s="746" t="s">
        <v>16</v>
      </c>
      <c r="F205" s="274"/>
      <c r="G205" s="236"/>
      <c r="H205" s="236"/>
      <c r="I205" s="236"/>
      <c r="J205" s="236"/>
      <c r="K205" s="236"/>
      <c r="L205" s="236"/>
      <c r="M205" s="866"/>
      <c r="N205" s="219">
        <f t="shared" si="127"/>
        <v>0</v>
      </c>
      <c r="O205" s="239">
        <f t="shared" si="128"/>
        <v>0</v>
      </c>
      <c r="P205" s="240"/>
      <c r="Q205" s="298" t="str">
        <f t="shared" si="135"/>
        <v>NO</v>
      </c>
      <c r="R205" s="869" t="str">
        <f t="shared" si="136"/>
        <v/>
      </c>
      <c r="T205" s="583" t="str">
        <f>IF(O205=0,"",IF(O205=30,"","Shot count Error"))</f>
        <v/>
      </c>
    </row>
    <row r="206" spans="1:22" ht="16.95" customHeight="1" thickBot="1" x14ac:dyDescent="0.35">
      <c r="A206" s="689" t="s">
        <v>149</v>
      </c>
      <c r="B206" s="325"/>
      <c r="C206" s="395" t="s">
        <v>369</v>
      </c>
      <c r="D206" s="292">
        <v>1624</v>
      </c>
      <c r="E206" s="803" t="s">
        <v>17</v>
      </c>
      <c r="F206" s="292">
        <v>40</v>
      </c>
      <c r="G206" s="243">
        <v>80</v>
      </c>
      <c r="H206" s="243">
        <v>99</v>
      </c>
      <c r="I206" s="243">
        <v>40</v>
      </c>
      <c r="J206" s="243">
        <v>14</v>
      </c>
      <c r="K206" s="243"/>
      <c r="L206" s="243"/>
      <c r="M206" s="966"/>
      <c r="N206" s="242">
        <f t="shared" si="127"/>
        <v>273</v>
      </c>
      <c r="O206" s="245">
        <f t="shared" si="128"/>
        <v>30</v>
      </c>
      <c r="P206" s="534"/>
      <c r="Q206" s="1023" t="str">
        <f t="shared" ref="Q206:Q223" si="142">IF(N206&gt;270,"Yes","NO")</f>
        <v>Yes</v>
      </c>
      <c r="R206" s="872" t="str">
        <f t="shared" ref="R206:R223" si="143">IF(Q206="yes","S","")</f>
        <v>S</v>
      </c>
      <c r="T206" s="583" t="str">
        <f>IF(O206=0,"",IF(O206=30,"","Shot count Error"))</f>
        <v/>
      </c>
    </row>
    <row r="207" spans="1:22" ht="16.95" customHeight="1" thickBot="1" x14ac:dyDescent="0.35">
      <c r="B207" s="325" t="s">
        <v>295</v>
      </c>
      <c r="C207" s="395" t="s">
        <v>334</v>
      </c>
      <c r="D207" s="292">
        <v>1858</v>
      </c>
      <c r="E207" s="796" t="s">
        <v>17</v>
      </c>
      <c r="F207" s="277">
        <v>30</v>
      </c>
      <c r="G207" s="249">
        <v>70</v>
      </c>
      <c r="H207" s="249">
        <v>90</v>
      </c>
      <c r="I207" s="249">
        <v>64</v>
      </c>
      <c r="J207" s="249">
        <v>7</v>
      </c>
      <c r="K207" s="249">
        <v>6</v>
      </c>
      <c r="L207" s="249"/>
      <c r="M207" s="865"/>
      <c r="N207" s="230">
        <f t="shared" si="127"/>
        <v>267</v>
      </c>
      <c r="O207" s="250">
        <f t="shared" si="128"/>
        <v>30</v>
      </c>
      <c r="P207" s="301"/>
      <c r="Q207" s="302" t="str">
        <f t="shared" si="142"/>
        <v>NO</v>
      </c>
      <c r="R207" s="868" t="str">
        <f t="shared" si="143"/>
        <v/>
      </c>
      <c r="T207" s="583"/>
    </row>
    <row r="208" spans="1:22" ht="16.95" customHeight="1" thickBot="1" x14ac:dyDescent="0.35">
      <c r="A208" s="689" t="s">
        <v>149</v>
      </c>
      <c r="B208" s="331" t="s">
        <v>262</v>
      </c>
      <c r="C208" s="1035" t="s">
        <v>146</v>
      </c>
      <c r="D208" s="277">
        <v>1615</v>
      </c>
      <c r="E208" s="796" t="s">
        <v>17</v>
      </c>
      <c r="F208" s="277">
        <v>40</v>
      </c>
      <c r="G208" s="249">
        <v>30</v>
      </c>
      <c r="H208" s="249">
        <v>81</v>
      </c>
      <c r="I208" s="249">
        <v>80</v>
      </c>
      <c r="J208" s="249">
        <v>28</v>
      </c>
      <c r="K208" s="249"/>
      <c r="L208" s="249"/>
      <c r="M208" s="865"/>
      <c r="N208" s="230">
        <f t="shared" si="127"/>
        <v>259</v>
      </c>
      <c r="O208" s="250">
        <f t="shared" si="128"/>
        <v>30</v>
      </c>
      <c r="P208" s="301"/>
      <c r="Q208" s="302" t="str">
        <f t="shared" si="142"/>
        <v>NO</v>
      </c>
      <c r="R208" s="868" t="str">
        <f t="shared" si="143"/>
        <v/>
      </c>
      <c r="T208" s="583"/>
    </row>
    <row r="209" spans="1:22" ht="16.95" customHeight="1" thickBot="1" x14ac:dyDescent="0.35">
      <c r="A209" s="689" t="s">
        <v>149</v>
      </c>
      <c r="B209" s="331"/>
      <c r="C209" s="546" t="s">
        <v>359</v>
      </c>
      <c r="D209" s="277">
        <v>1225</v>
      </c>
      <c r="E209" s="796" t="s">
        <v>17</v>
      </c>
      <c r="F209" s="277">
        <v>0</v>
      </c>
      <c r="G209" s="249">
        <v>50</v>
      </c>
      <c r="H209" s="249">
        <v>135</v>
      </c>
      <c r="I209" s="249">
        <v>32</v>
      </c>
      <c r="J209" s="249">
        <v>21</v>
      </c>
      <c r="K209" s="249">
        <v>12</v>
      </c>
      <c r="L209" s="249"/>
      <c r="M209" s="865">
        <v>1</v>
      </c>
      <c r="N209" s="230">
        <f t="shared" si="127"/>
        <v>250</v>
      </c>
      <c r="O209" s="250">
        <f t="shared" si="128"/>
        <v>30</v>
      </c>
      <c r="P209" s="301"/>
      <c r="Q209" s="302" t="str">
        <f t="shared" si="142"/>
        <v>NO</v>
      </c>
      <c r="R209" s="868" t="str">
        <f t="shared" si="143"/>
        <v/>
      </c>
      <c r="T209" s="583"/>
    </row>
    <row r="210" spans="1:22" ht="16.95" customHeight="1" thickBot="1" x14ac:dyDescent="0.35">
      <c r="A210" s="689" t="s">
        <v>149</v>
      </c>
      <c r="B210" s="331" t="s">
        <v>294</v>
      </c>
      <c r="C210" s="546" t="s">
        <v>181</v>
      </c>
      <c r="D210" s="277">
        <v>2580</v>
      </c>
      <c r="E210" s="796" t="s">
        <v>17</v>
      </c>
      <c r="F210" s="277">
        <v>10</v>
      </c>
      <c r="G210" s="249">
        <v>10</v>
      </c>
      <c r="H210" s="249">
        <v>72</v>
      </c>
      <c r="I210" s="249">
        <v>128</v>
      </c>
      <c r="J210" s="249">
        <v>28</v>
      </c>
      <c r="K210" s="249"/>
      <c r="L210" s="249"/>
      <c r="M210" s="865"/>
      <c r="N210" s="230">
        <f t="shared" si="127"/>
        <v>248</v>
      </c>
      <c r="O210" s="250">
        <f t="shared" si="128"/>
        <v>30</v>
      </c>
      <c r="P210" s="301"/>
      <c r="Q210" s="302" t="str">
        <f t="shared" si="142"/>
        <v>NO</v>
      </c>
      <c r="R210" s="868" t="str">
        <f t="shared" si="143"/>
        <v/>
      </c>
      <c r="T210" s="583" t="str">
        <f>IF(O210=0,"",IF(O210=30,"","Shot count Error"))</f>
        <v/>
      </c>
    </row>
    <row r="211" spans="1:22" ht="16.95" customHeight="1" thickBot="1" x14ac:dyDescent="0.35">
      <c r="A211" s="689" t="s">
        <v>149</v>
      </c>
      <c r="B211" s="331" t="s">
        <v>329</v>
      </c>
      <c r="C211" s="546" t="s">
        <v>330</v>
      </c>
      <c r="D211" s="277">
        <v>1750</v>
      </c>
      <c r="E211" s="796" t="s">
        <v>17</v>
      </c>
      <c r="F211" s="277">
        <v>30</v>
      </c>
      <c r="G211" s="249">
        <v>30</v>
      </c>
      <c r="H211" s="249">
        <v>90</v>
      </c>
      <c r="I211" s="249">
        <v>56</v>
      </c>
      <c r="J211" s="249">
        <v>14</v>
      </c>
      <c r="K211" s="249">
        <v>18</v>
      </c>
      <c r="L211" s="249"/>
      <c r="M211" s="865">
        <v>2</v>
      </c>
      <c r="N211" s="230">
        <f t="shared" si="127"/>
        <v>238</v>
      </c>
      <c r="O211" s="250">
        <f t="shared" si="128"/>
        <v>30</v>
      </c>
      <c r="P211" s="301"/>
      <c r="Q211" s="302" t="str">
        <f t="shared" si="142"/>
        <v>NO</v>
      </c>
      <c r="R211" s="868" t="str">
        <f t="shared" si="143"/>
        <v/>
      </c>
      <c r="T211" s="583" t="str">
        <f t="shared" ref="T211" si="144">IF(O211=0,"",IF(O211=30,"","Shot count Error"))</f>
        <v/>
      </c>
    </row>
    <row r="212" spans="1:22" ht="16.95" customHeight="1" thickBot="1" x14ac:dyDescent="0.35">
      <c r="B212" s="977">
        <v>1</v>
      </c>
      <c r="C212" s="546" t="s">
        <v>301</v>
      </c>
      <c r="D212" s="277">
        <v>1207</v>
      </c>
      <c r="E212" s="796" t="s">
        <v>17</v>
      </c>
      <c r="F212" s="277">
        <v>0</v>
      </c>
      <c r="G212" s="249">
        <v>10</v>
      </c>
      <c r="H212" s="249">
        <v>117</v>
      </c>
      <c r="I212" s="249">
        <v>48</v>
      </c>
      <c r="J212" s="249">
        <v>35</v>
      </c>
      <c r="K212" s="249">
        <v>12</v>
      </c>
      <c r="L212" s="249"/>
      <c r="M212" s="865">
        <v>3</v>
      </c>
      <c r="N212" s="230">
        <f t="shared" si="127"/>
        <v>222</v>
      </c>
      <c r="O212" s="250">
        <f t="shared" si="128"/>
        <v>30</v>
      </c>
      <c r="P212" s="301"/>
      <c r="Q212" s="302" t="str">
        <f t="shared" si="142"/>
        <v>NO</v>
      </c>
      <c r="R212" s="868" t="str">
        <f t="shared" si="143"/>
        <v/>
      </c>
      <c r="T212" s="583"/>
    </row>
    <row r="213" spans="1:22" ht="16.95" customHeight="1" thickBot="1" x14ac:dyDescent="0.35">
      <c r="B213" s="331" t="s">
        <v>260</v>
      </c>
      <c r="C213" s="546" t="s">
        <v>375</v>
      </c>
      <c r="D213" s="277" t="s">
        <v>245</v>
      </c>
      <c r="E213" s="796" t="s">
        <v>17</v>
      </c>
      <c r="F213" s="277">
        <v>0</v>
      </c>
      <c r="G213" s="249">
        <v>30</v>
      </c>
      <c r="H213" s="249">
        <v>63</v>
      </c>
      <c r="I213" s="249">
        <v>64</v>
      </c>
      <c r="J213" s="249">
        <v>35</v>
      </c>
      <c r="K213" s="249">
        <v>18</v>
      </c>
      <c r="L213" s="249">
        <v>10</v>
      </c>
      <c r="M213" s="865">
        <v>2</v>
      </c>
      <c r="N213" s="230">
        <f t="shared" si="127"/>
        <v>220</v>
      </c>
      <c r="O213" s="250">
        <f t="shared" si="128"/>
        <v>30</v>
      </c>
      <c r="P213" s="301"/>
      <c r="Q213" s="302" t="str">
        <f t="shared" si="142"/>
        <v>NO</v>
      </c>
      <c r="R213" s="868" t="str">
        <f t="shared" si="143"/>
        <v/>
      </c>
      <c r="T213" s="583"/>
    </row>
    <row r="214" spans="1:22" ht="16.95" customHeight="1" thickBot="1" x14ac:dyDescent="0.35">
      <c r="A214" s="689" t="s">
        <v>149</v>
      </c>
      <c r="B214" s="977">
        <v>2</v>
      </c>
      <c r="C214" s="546" t="s">
        <v>302</v>
      </c>
      <c r="D214" s="277">
        <v>306</v>
      </c>
      <c r="E214" s="796" t="s">
        <v>17</v>
      </c>
      <c r="F214" s="277">
        <v>20</v>
      </c>
      <c r="G214" s="249">
        <v>40</v>
      </c>
      <c r="H214" s="249">
        <v>99</v>
      </c>
      <c r="I214" s="249">
        <v>16</v>
      </c>
      <c r="J214" s="249">
        <v>14</v>
      </c>
      <c r="K214" s="249">
        <v>24</v>
      </c>
      <c r="L214" s="249"/>
      <c r="M214" s="865">
        <v>5</v>
      </c>
      <c r="N214" s="230">
        <f t="shared" si="127"/>
        <v>213</v>
      </c>
      <c r="O214" s="250">
        <f t="shared" si="128"/>
        <v>30</v>
      </c>
      <c r="P214" s="301"/>
      <c r="Q214" s="302" t="str">
        <f t="shared" si="142"/>
        <v>NO</v>
      </c>
      <c r="R214" s="868" t="str">
        <f t="shared" si="143"/>
        <v/>
      </c>
      <c r="T214" s="583" t="str">
        <f>IF(O214=0,"",IF(O214=30,"","Shot count Error"))</f>
        <v/>
      </c>
    </row>
    <row r="215" spans="1:22" ht="16.95" customHeight="1" thickBot="1" x14ac:dyDescent="0.35">
      <c r="A215" s="689" t="s">
        <v>149</v>
      </c>
      <c r="B215" s="978" t="s">
        <v>238</v>
      </c>
      <c r="C215" s="546" t="s">
        <v>220</v>
      </c>
      <c r="D215" s="81">
        <v>1983</v>
      </c>
      <c r="E215" s="796" t="s">
        <v>17</v>
      </c>
      <c r="F215" s="277">
        <v>0</v>
      </c>
      <c r="G215" s="249">
        <v>10</v>
      </c>
      <c r="H215" s="249">
        <v>45</v>
      </c>
      <c r="I215" s="249">
        <v>64</v>
      </c>
      <c r="J215" s="249">
        <v>49</v>
      </c>
      <c r="K215" s="249">
        <v>36</v>
      </c>
      <c r="L215" s="249">
        <v>5</v>
      </c>
      <c r="M215" s="865">
        <v>2</v>
      </c>
      <c r="N215" s="230">
        <f t="shared" si="127"/>
        <v>209</v>
      </c>
      <c r="O215" s="250">
        <f t="shared" si="128"/>
        <v>30</v>
      </c>
      <c r="P215" s="301"/>
      <c r="Q215" s="545" t="str">
        <f t="shared" si="142"/>
        <v>NO</v>
      </c>
      <c r="R215" s="868" t="str">
        <f t="shared" si="143"/>
        <v/>
      </c>
      <c r="T215" s="583" t="str">
        <f t="shared" ref="T215:T219" si="145">IF(O215=0,"",IF(O215=30,"","Shot count Error"))</f>
        <v/>
      </c>
    </row>
    <row r="216" spans="1:22" ht="16.95" customHeight="1" thickBot="1" x14ac:dyDescent="0.35">
      <c r="A216" s="689" t="s">
        <v>149</v>
      </c>
      <c r="B216" s="331" t="s">
        <v>277</v>
      </c>
      <c r="C216" s="1035" t="s">
        <v>221</v>
      </c>
      <c r="D216" s="277">
        <v>1984</v>
      </c>
      <c r="E216" s="796" t="s">
        <v>17</v>
      </c>
      <c r="F216" s="277">
        <v>10</v>
      </c>
      <c r="G216" s="249">
        <v>40</v>
      </c>
      <c r="H216" s="249">
        <v>36</v>
      </c>
      <c r="I216" s="249">
        <v>48</v>
      </c>
      <c r="J216" s="249">
        <v>56</v>
      </c>
      <c r="K216" s="249">
        <v>12</v>
      </c>
      <c r="L216" s="249">
        <v>5</v>
      </c>
      <c r="M216" s="865">
        <v>4</v>
      </c>
      <c r="N216" s="230">
        <f t="shared" si="127"/>
        <v>207</v>
      </c>
      <c r="O216" s="250">
        <f t="shared" si="128"/>
        <v>30</v>
      </c>
      <c r="P216" s="301"/>
      <c r="Q216" s="545" t="str">
        <f t="shared" si="142"/>
        <v>NO</v>
      </c>
      <c r="R216" s="868" t="str">
        <f t="shared" si="143"/>
        <v/>
      </c>
      <c r="T216" s="583" t="str">
        <f t="shared" si="145"/>
        <v/>
      </c>
    </row>
    <row r="217" spans="1:22" ht="16.95" customHeight="1" thickBot="1" x14ac:dyDescent="0.35">
      <c r="A217" s="689" t="s">
        <v>149</v>
      </c>
      <c r="B217" s="331" t="s">
        <v>293</v>
      </c>
      <c r="C217" s="546" t="s">
        <v>374</v>
      </c>
      <c r="D217" s="277" t="s">
        <v>245</v>
      </c>
      <c r="E217" s="796" t="s">
        <v>17</v>
      </c>
      <c r="F217" s="277">
        <v>20</v>
      </c>
      <c r="G217" s="249">
        <v>30</v>
      </c>
      <c r="H217" s="249">
        <v>9</v>
      </c>
      <c r="I217" s="249">
        <v>64</v>
      </c>
      <c r="J217" s="249">
        <v>63</v>
      </c>
      <c r="K217" s="249">
        <v>12</v>
      </c>
      <c r="L217" s="249"/>
      <c r="M217" s="865">
        <v>5</v>
      </c>
      <c r="N217" s="230">
        <f t="shared" si="127"/>
        <v>198</v>
      </c>
      <c r="O217" s="250">
        <f t="shared" si="128"/>
        <v>30</v>
      </c>
      <c r="P217" s="301"/>
      <c r="Q217" s="302" t="str">
        <f t="shared" si="142"/>
        <v>NO</v>
      </c>
      <c r="R217" s="868" t="str">
        <f t="shared" si="143"/>
        <v/>
      </c>
      <c r="T217" s="583" t="str">
        <f t="shared" si="145"/>
        <v/>
      </c>
    </row>
    <row r="218" spans="1:22" ht="16.95" customHeight="1" thickBot="1" x14ac:dyDescent="0.35">
      <c r="A218" s="689" t="s">
        <v>149</v>
      </c>
      <c r="B218" s="331" t="s">
        <v>164</v>
      </c>
      <c r="C218" s="546" t="s">
        <v>141</v>
      </c>
      <c r="D218" s="277">
        <v>268</v>
      </c>
      <c r="E218" s="796" t="s">
        <v>17</v>
      </c>
      <c r="F218" s="277">
        <v>0</v>
      </c>
      <c r="G218" s="249">
        <v>20</v>
      </c>
      <c r="H218" s="249">
        <v>63</v>
      </c>
      <c r="I218" s="249">
        <v>32</v>
      </c>
      <c r="J218" s="249">
        <v>35</v>
      </c>
      <c r="K218" s="249">
        <v>18</v>
      </c>
      <c r="L218" s="249">
        <v>10</v>
      </c>
      <c r="M218" s="865">
        <v>7</v>
      </c>
      <c r="N218" s="230">
        <f t="shared" si="127"/>
        <v>178</v>
      </c>
      <c r="O218" s="250">
        <f t="shared" si="128"/>
        <v>30</v>
      </c>
      <c r="P218" s="301"/>
      <c r="Q218" s="302" t="str">
        <f t="shared" si="142"/>
        <v>NO</v>
      </c>
      <c r="R218" s="868" t="str">
        <f t="shared" si="143"/>
        <v/>
      </c>
      <c r="T218" s="583" t="str">
        <f t="shared" si="145"/>
        <v/>
      </c>
    </row>
    <row r="219" spans="1:22" ht="16.95" customHeight="1" thickBot="1" x14ac:dyDescent="0.35">
      <c r="A219" s="689" t="s">
        <v>149</v>
      </c>
      <c r="B219" s="331"/>
      <c r="C219" s="546" t="s">
        <v>367</v>
      </c>
      <c r="D219" s="277">
        <v>2233</v>
      </c>
      <c r="E219" s="796" t="s">
        <v>17</v>
      </c>
      <c r="F219" s="277">
        <v>0</v>
      </c>
      <c r="G219" s="249">
        <v>0</v>
      </c>
      <c r="H219" s="249">
        <v>27</v>
      </c>
      <c r="I219" s="249">
        <v>40</v>
      </c>
      <c r="J219" s="249">
        <v>14</v>
      </c>
      <c r="K219" s="249">
        <v>54</v>
      </c>
      <c r="L219" s="249">
        <v>25</v>
      </c>
      <c r="M219" s="865">
        <v>6</v>
      </c>
      <c r="N219" s="230">
        <f t="shared" si="127"/>
        <v>160</v>
      </c>
      <c r="O219" s="250">
        <f t="shared" si="128"/>
        <v>30</v>
      </c>
      <c r="P219" s="301"/>
      <c r="Q219" s="302" t="str">
        <f t="shared" si="142"/>
        <v>NO</v>
      </c>
      <c r="R219" s="868" t="str">
        <f t="shared" si="143"/>
        <v/>
      </c>
      <c r="T219" s="583" t="str">
        <f t="shared" si="145"/>
        <v/>
      </c>
    </row>
    <row r="220" spans="1:22" ht="16.95" customHeight="1" thickBot="1" x14ac:dyDescent="0.35">
      <c r="A220" s="689" t="s">
        <v>149</v>
      </c>
      <c r="B220" s="331" t="s">
        <v>278</v>
      </c>
      <c r="C220" s="653" t="s">
        <v>195</v>
      </c>
      <c r="D220" s="301">
        <v>2454</v>
      </c>
      <c r="E220" s="796" t="s">
        <v>17</v>
      </c>
      <c r="F220" s="277">
        <v>10</v>
      </c>
      <c r="G220" s="249">
        <v>10</v>
      </c>
      <c r="H220" s="249">
        <v>36</v>
      </c>
      <c r="I220" s="249">
        <v>40</v>
      </c>
      <c r="J220" s="249">
        <v>28</v>
      </c>
      <c r="K220" s="249">
        <v>36</v>
      </c>
      <c r="L220" s="249"/>
      <c r="M220" s="865">
        <v>9</v>
      </c>
      <c r="N220" s="230">
        <f t="shared" si="127"/>
        <v>160</v>
      </c>
      <c r="O220" s="250">
        <f t="shared" si="128"/>
        <v>30</v>
      </c>
      <c r="P220" s="301"/>
      <c r="Q220" s="302" t="str">
        <f t="shared" si="142"/>
        <v>NO</v>
      </c>
      <c r="R220" s="868" t="str">
        <f t="shared" si="143"/>
        <v/>
      </c>
      <c r="T220" s="583" t="str">
        <f>IF(O220=0,"",IF(O220=30,"","Shot count Error"))</f>
        <v/>
      </c>
    </row>
    <row r="221" spans="1:22" ht="16.95" customHeight="1" thickBot="1" x14ac:dyDescent="0.35">
      <c r="A221" s="689" t="s">
        <v>149</v>
      </c>
      <c r="B221" s="331" t="s">
        <v>247</v>
      </c>
      <c r="C221" s="546" t="s">
        <v>246</v>
      </c>
      <c r="D221" s="277" t="s">
        <v>245</v>
      </c>
      <c r="E221" s="796" t="s">
        <v>17</v>
      </c>
      <c r="F221" s="277"/>
      <c r="G221" s="249"/>
      <c r="H221" s="249"/>
      <c r="I221" s="249"/>
      <c r="J221" s="249"/>
      <c r="K221" s="249"/>
      <c r="L221" s="249"/>
      <c r="M221" s="865"/>
      <c r="N221" s="230">
        <f t="shared" si="127"/>
        <v>0</v>
      </c>
      <c r="O221" s="250">
        <f t="shared" si="128"/>
        <v>0</v>
      </c>
      <c r="P221" s="301"/>
      <c r="Q221" s="302" t="str">
        <f t="shared" si="142"/>
        <v>NO</v>
      </c>
      <c r="R221" s="868" t="str">
        <f t="shared" si="143"/>
        <v/>
      </c>
      <c r="T221" s="583" t="str">
        <f>IF(O221=0,"",IF(O221=30,"","Shot count Error"))</f>
        <v/>
      </c>
      <c r="V221" s="985" t="s">
        <v>342</v>
      </c>
    </row>
    <row r="222" spans="1:22" ht="16.95" customHeight="1" thickBot="1" x14ac:dyDescent="0.35">
      <c r="A222" s="689" t="s">
        <v>149</v>
      </c>
      <c r="B222" s="331" t="s">
        <v>262</v>
      </c>
      <c r="C222" s="546" t="s">
        <v>146</v>
      </c>
      <c r="D222" s="277">
        <v>1615</v>
      </c>
      <c r="E222" s="796" t="s">
        <v>17</v>
      </c>
      <c r="F222" s="277"/>
      <c r="G222" s="249"/>
      <c r="H222" s="249"/>
      <c r="I222" s="249"/>
      <c r="J222" s="249"/>
      <c r="K222" s="249"/>
      <c r="L222" s="249"/>
      <c r="M222" s="865"/>
      <c r="N222" s="230">
        <f t="shared" si="127"/>
        <v>0</v>
      </c>
      <c r="O222" s="250">
        <f t="shared" si="128"/>
        <v>0</v>
      </c>
      <c r="P222" s="301"/>
      <c r="Q222" s="302" t="str">
        <f t="shared" si="142"/>
        <v>NO</v>
      </c>
      <c r="R222" s="868" t="str">
        <f t="shared" si="143"/>
        <v/>
      </c>
      <c r="T222" s="583" t="str">
        <f t="shared" ref="T222" si="146">IF(O222=0,"",IF(O222=30,"","Shot count Error"))</f>
        <v/>
      </c>
      <c r="V222" s="985" t="s">
        <v>342</v>
      </c>
    </row>
    <row r="223" spans="1:22" ht="16.95" customHeight="1" thickBot="1" x14ac:dyDescent="0.35">
      <c r="A223" s="689" t="s">
        <v>149</v>
      </c>
      <c r="B223" s="324" t="s">
        <v>281</v>
      </c>
      <c r="C223" s="398" t="s">
        <v>222</v>
      </c>
      <c r="D223" s="274">
        <v>2005</v>
      </c>
      <c r="E223" s="746" t="s">
        <v>17</v>
      </c>
      <c r="F223" s="274"/>
      <c r="G223" s="236"/>
      <c r="H223" s="236"/>
      <c r="I223" s="236"/>
      <c r="J223" s="236"/>
      <c r="K223" s="236"/>
      <c r="L223" s="236"/>
      <c r="M223" s="866"/>
      <c r="N223" s="219">
        <f t="shared" si="127"/>
        <v>0</v>
      </c>
      <c r="O223" s="239">
        <f t="shared" si="128"/>
        <v>0</v>
      </c>
      <c r="P223" s="240"/>
      <c r="Q223" s="298" t="str">
        <f t="shared" si="142"/>
        <v>NO</v>
      </c>
      <c r="R223" s="869" t="str">
        <f t="shared" si="143"/>
        <v/>
      </c>
      <c r="T223" s="583" t="str">
        <f>IF(O223=0,"",IF(O223=30,"","Shot count Error"))</f>
        <v/>
      </c>
    </row>
    <row r="224" spans="1:22" ht="27.6" customHeight="1" thickBot="1" x14ac:dyDescent="0.35">
      <c r="B224" s="967">
        <f>COUNTA(B183:B223)</f>
        <v>28</v>
      </c>
      <c r="C224" s="785" t="s">
        <v>71</v>
      </c>
      <c r="D224" s="1112" t="s">
        <v>73</v>
      </c>
      <c r="E224" s="1113"/>
      <c r="F224" s="1113"/>
      <c r="G224" s="1113"/>
      <c r="H224" s="1113"/>
      <c r="I224" s="1113"/>
      <c r="J224" s="1113"/>
      <c r="K224" s="1113"/>
      <c r="L224" s="1113"/>
      <c r="M224" s="1113"/>
      <c r="N224" s="1113"/>
      <c r="O224" s="1114"/>
      <c r="R224" s="196"/>
      <c r="T224" s="585" t="str">
        <f>IF(O224=0,"",IF(O224=30,"","Shot count Error"))</f>
        <v/>
      </c>
    </row>
    <row r="225" spans="1:20" ht="16.95" customHeight="1" x14ac:dyDescent="0.3">
      <c r="B225" s="197"/>
      <c r="C225" s="689"/>
      <c r="E225" s="197"/>
      <c r="T225" s="585"/>
    </row>
    <row r="226" spans="1:20" ht="16.95" customHeight="1" thickBot="1" x14ac:dyDescent="0.35">
      <c r="T226" s="585"/>
    </row>
    <row r="227" spans="1:20" ht="20.25" customHeight="1" thickBot="1" x14ac:dyDescent="0.35">
      <c r="C227" s="1117" t="s">
        <v>21</v>
      </c>
      <c r="D227" s="1118"/>
      <c r="E227" s="1118"/>
      <c r="F227" s="1118"/>
      <c r="G227" s="1118"/>
      <c r="H227" s="1118"/>
      <c r="I227" s="1119"/>
      <c r="J227" s="1115" t="s">
        <v>182</v>
      </c>
      <c r="K227" s="1116"/>
      <c r="L227" s="598">
        <v>24</v>
      </c>
      <c r="M227" s="1120" t="s">
        <v>189</v>
      </c>
      <c r="N227" s="1121"/>
      <c r="O227" s="587">
        <v>120</v>
      </c>
      <c r="Q227" s="1130" t="s">
        <v>185</v>
      </c>
      <c r="R227" s="1131"/>
    </row>
    <row r="228" spans="1:20" ht="30.9" customHeight="1" thickBot="1" x14ac:dyDescent="0.35">
      <c r="B228" s="535" t="s">
        <v>154</v>
      </c>
      <c r="C228" s="258" t="s">
        <v>0</v>
      </c>
      <c r="D228" s="466" t="s">
        <v>1</v>
      </c>
      <c r="E228" s="200" t="s">
        <v>2</v>
      </c>
      <c r="F228" s="282" t="s">
        <v>48</v>
      </c>
      <c r="G228" s="283">
        <v>5</v>
      </c>
      <c r="H228" s="283">
        <v>4</v>
      </c>
      <c r="I228" s="283">
        <v>3</v>
      </c>
      <c r="J228" s="284">
        <v>2</v>
      </c>
      <c r="K228" s="285">
        <v>0</v>
      </c>
      <c r="L228" s="205" t="s">
        <v>9</v>
      </c>
      <c r="M228" s="286" t="s">
        <v>50</v>
      </c>
      <c r="N228" s="393" t="s">
        <v>59</v>
      </c>
      <c r="O228" s="319" t="s">
        <v>60</v>
      </c>
      <c r="Q228" s="1132"/>
      <c r="R228" s="1133"/>
    </row>
    <row r="229" spans="1:20" ht="17.100000000000001" customHeight="1" thickBot="1" x14ac:dyDescent="0.35">
      <c r="A229" s="689" t="s">
        <v>210</v>
      </c>
      <c r="B229" s="330"/>
      <c r="C229" s="206" t="s">
        <v>147</v>
      </c>
      <c r="D229" s="470">
        <v>2149</v>
      </c>
      <c r="E229" s="544" t="s">
        <v>18</v>
      </c>
      <c r="F229" s="464">
        <v>0</v>
      </c>
      <c r="G229" s="223">
        <v>45</v>
      </c>
      <c r="H229" s="223">
        <v>52</v>
      </c>
      <c r="I229" s="223">
        <v>6</v>
      </c>
      <c r="J229" s="304"/>
      <c r="K229" s="288"/>
      <c r="L229" s="226">
        <f t="shared" ref="L229:L231" si="147">SUM($F229:$J229)</f>
        <v>103</v>
      </c>
      <c r="M229" s="224">
        <f t="shared" ref="M229:M234" si="148">(F229/5)+(G229/5)+(H229/4)+(I229/3)+(J229/2)+K229</f>
        <v>24</v>
      </c>
      <c r="N229" s="1155"/>
      <c r="O229" s="1156"/>
      <c r="Q229" s="1110" t="str">
        <f>IF(M229=0,"",IF(M229=24,"","Shot count Error"))</f>
        <v/>
      </c>
      <c r="R229" s="1111"/>
    </row>
    <row r="230" spans="1:20" ht="17.100000000000001" customHeight="1" thickBot="1" x14ac:dyDescent="0.35">
      <c r="A230" s="689" t="s">
        <v>210</v>
      </c>
      <c r="B230" s="331"/>
      <c r="C230" s="398"/>
      <c r="D230" s="241"/>
      <c r="E230" s="544" t="s">
        <v>18</v>
      </c>
      <c r="F230" s="264"/>
      <c r="G230" s="217"/>
      <c r="H230" s="217"/>
      <c r="I230" s="217"/>
      <c r="J230" s="1043"/>
      <c r="K230" s="1044"/>
      <c r="L230" s="219">
        <f t="shared" si="147"/>
        <v>0</v>
      </c>
      <c r="M230" s="239">
        <f t="shared" si="148"/>
        <v>0</v>
      </c>
      <c r="N230" s="1157"/>
      <c r="O230" s="1158"/>
      <c r="Q230" s="1110" t="str">
        <f t="shared" ref="Q230:Q260" si="149">IF(M230=0,"",IF(M230=24,"","Shot count Error"))</f>
        <v/>
      </c>
      <c r="R230" s="1111"/>
    </row>
    <row r="231" spans="1:20" ht="17.100000000000001" customHeight="1" thickBot="1" x14ac:dyDescent="0.35">
      <c r="A231" s="689" t="s">
        <v>210</v>
      </c>
      <c r="B231" s="323"/>
      <c r="D231" s="228"/>
      <c r="E231" s="326" t="s">
        <v>14</v>
      </c>
      <c r="F231" s="464"/>
      <c r="G231" s="223"/>
      <c r="H231" s="223"/>
      <c r="I231" s="223"/>
      <c r="J231" s="304"/>
      <c r="K231" s="303"/>
      <c r="L231" s="205">
        <f t="shared" si="147"/>
        <v>0</v>
      </c>
      <c r="M231" s="281">
        <f t="shared" si="148"/>
        <v>0</v>
      </c>
      <c r="N231" s="394" t="str">
        <f>IF(L231&gt;114,"Yes","NO")</f>
        <v>NO</v>
      </c>
      <c r="O231" s="610" t="str">
        <f>IF(N231="yes","HM","")</f>
        <v/>
      </c>
      <c r="Q231" s="1110" t="str">
        <f t="shared" si="149"/>
        <v/>
      </c>
      <c r="R231" s="1111"/>
    </row>
    <row r="232" spans="1:20" ht="17.100000000000001" customHeight="1" thickBot="1" x14ac:dyDescent="0.35">
      <c r="A232" s="689" t="s">
        <v>210</v>
      </c>
      <c r="B232" s="323"/>
      <c r="C232" s="394" t="s">
        <v>372</v>
      </c>
      <c r="D232" s="225">
        <v>169</v>
      </c>
      <c r="E232" s="326" t="s">
        <v>15</v>
      </c>
      <c r="F232" s="262">
        <v>0</v>
      </c>
      <c r="G232" s="210">
        <v>60</v>
      </c>
      <c r="H232" s="210">
        <v>36</v>
      </c>
      <c r="I232" s="210">
        <v>6</v>
      </c>
      <c r="J232" s="210">
        <v>2</v>
      </c>
      <c r="K232" s="825"/>
      <c r="L232" s="529">
        <f t="shared" ref="L232:L260" si="150">SUM($F232:$J232)</f>
        <v>104</v>
      </c>
      <c r="M232" s="224">
        <f t="shared" si="148"/>
        <v>24</v>
      </c>
      <c r="N232" s="397" t="str">
        <f>IF(L232&gt;109,"Yes","NO")</f>
        <v>NO</v>
      </c>
      <c r="O232" s="612" t="str">
        <f>IF(N232="yes","M","")</f>
        <v/>
      </c>
      <c r="Q232" s="1110" t="str">
        <f t="shared" si="149"/>
        <v/>
      </c>
      <c r="R232" s="1111"/>
    </row>
    <row r="233" spans="1:20" ht="17.100000000000001" customHeight="1" thickBot="1" x14ac:dyDescent="0.35">
      <c r="A233" s="689" t="s">
        <v>210</v>
      </c>
      <c r="B233" s="323"/>
      <c r="C233" s="395" t="s">
        <v>115</v>
      </c>
      <c r="D233" s="287">
        <v>1383</v>
      </c>
      <c r="E233" s="327" t="s">
        <v>15</v>
      </c>
      <c r="F233" s="277">
        <v>0</v>
      </c>
      <c r="G233" s="249">
        <v>10</v>
      </c>
      <c r="H233" s="249">
        <v>52</v>
      </c>
      <c r="I233" s="249">
        <v>21</v>
      </c>
      <c r="J233" s="249">
        <v>4</v>
      </c>
      <c r="K233" s="826"/>
      <c r="L233" s="1045">
        <f t="shared" si="150"/>
        <v>87</v>
      </c>
      <c r="M233" s="250">
        <f t="shared" ref="M233" si="151">(F233/5)+(G233/5)+(H233/4)+(I233/3)+(J233/2)+K233</f>
        <v>24</v>
      </c>
      <c r="N233" s="546" t="str">
        <f t="shared" ref="N233" si="152">IF(L233&gt;109,"Yes","NO")</f>
        <v>NO</v>
      </c>
      <c r="O233" s="613" t="str">
        <f t="shared" ref="O233" si="153">IF(N233="yes","M","")</f>
        <v/>
      </c>
      <c r="Q233" s="1110" t="str">
        <f t="shared" si="149"/>
        <v/>
      </c>
      <c r="R233" s="1111"/>
    </row>
    <row r="234" spans="1:20" ht="17.100000000000001" customHeight="1" thickBot="1" x14ac:dyDescent="0.35">
      <c r="A234" s="689" t="s">
        <v>210</v>
      </c>
      <c r="B234" s="330"/>
      <c r="C234" s="206" t="s">
        <v>159</v>
      </c>
      <c r="D234" s="228">
        <v>80</v>
      </c>
      <c r="E234" s="692" t="s">
        <v>15</v>
      </c>
      <c r="F234" s="274"/>
      <c r="G234" s="236"/>
      <c r="H234" s="236"/>
      <c r="I234" s="236"/>
      <c r="J234" s="236"/>
      <c r="K234" s="827"/>
      <c r="L234" s="529">
        <f t="shared" si="150"/>
        <v>0</v>
      </c>
      <c r="M234" s="224">
        <f t="shared" si="148"/>
        <v>0</v>
      </c>
      <c r="N234" s="206" t="str">
        <f>IF(L234&gt;109,"Yes","NO")</f>
        <v>NO</v>
      </c>
      <c r="O234" s="615" t="str">
        <f>IF(N234="yes","M","")</f>
        <v/>
      </c>
      <c r="Q234" s="1153" t="str">
        <f t="shared" si="149"/>
        <v/>
      </c>
      <c r="R234" s="1154"/>
    </row>
    <row r="235" spans="1:20" ht="17.100000000000001" customHeight="1" x14ac:dyDescent="0.3">
      <c r="A235" s="689" t="s">
        <v>210</v>
      </c>
      <c r="B235" s="326" t="s">
        <v>160</v>
      </c>
      <c r="C235" s="323" t="s">
        <v>205</v>
      </c>
      <c r="D235" s="713">
        <v>1350</v>
      </c>
      <c r="E235" s="326" t="s">
        <v>16</v>
      </c>
      <c r="F235" s="292">
        <v>0</v>
      </c>
      <c r="G235" s="243">
        <v>35</v>
      </c>
      <c r="H235" s="243">
        <v>36</v>
      </c>
      <c r="I235" s="243">
        <v>12</v>
      </c>
      <c r="J235" s="243">
        <v>8</v>
      </c>
      <c r="K235" s="834"/>
      <c r="L235" s="850">
        <f t="shared" si="150"/>
        <v>91</v>
      </c>
      <c r="M235" s="260">
        <f t="shared" ref="M235:M246" si="154">(F235/5)+(G235/5)+(H235/4)+(I235/3)+(J235/2)+K235</f>
        <v>24</v>
      </c>
      <c r="N235" s="654" t="str">
        <f t="shared" ref="N235:N246" si="155">IF(L235&gt;102,"Yes","NO")</f>
        <v>NO</v>
      </c>
      <c r="O235" s="867" t="str">
        <f t="shared" ref="O235:O246" si="156">IF(N235="yes","G","")</f>
        <v/>
      </c>
      <c r="Q235" s="1140" t="str">
        <f t="shared" si="149"/>
        <v/>
      </c>
      <c r="R235" s="1141"/>
    </row>
    <row r="236" spans="1:20" ht="17.100000000000001" hidden="1" customHeight="1" thickBot="1" x14ac:dyDescent="0.3">
      <c r="A236" s="689" t="s">
        <v>210</v>
      </c>
      <c r="B236" s="328"/>
      <c r="C236" s="331" t="s">
        <v>202</v>
      </c>
      <c r="D236" s="694">
        <v>1783</v>
      </c>
      <c r="E236" s="328" t="s">
        <v>16</v>
      </c>
      <c r="F236" s="277"/>
      <c r="G236" s="249"/>
      <c r="H236" s="249"/>
      <c r="I236" s="249"/>
      <c r="J236" s="249"/>
      <c r="K236" s="826"/>
      <c r="L236" s="830">
        <f t="shared" si="150"/>
        <v>0</v>
      </c>
      <c r="M236" s="300">
        <f t="shared" si="154"/>
        <v>0</v>
      </c>
      <c r="N236" s="653" t="str">
        <f t="shared" si="155"/>
        <v>NO</v>
      </c>
      <c r="O236" s="868" t="str">
        <f t="shared" si="156"/>
        <v/>
      </c>
      <c r="Q236" s="1124" t="str">
        <f t="shared" si="149"/>
        <v/>
      </c>
      <c r="R236" s="1125"/>
    </row>
    <row r="237" spans="1:20" ht="17.100000000000001" hidden="1" customHeight="1" thickBot="1" x14ac:dyDescent="0.3">
      <c r="A237" s="689" t="s">
        <v>210</v>
      </c>
      <c r="B237" s="328"/>
      <c r="C237" s="331" t="s">
        <v>198</v>
      </c>
      <c r="D237" s="694">
        <v>3624</v>
      </c>
      <c r="E237" s="328" t="s">
        <v>16</v>
      </c>
      <c r="F237" s="277"/>
      <c r="G237" s="249"/>
      <c r="H237" s="249"/>
      <c r="I237" s="249"/>
      <c r="J237" s="249"/>
      <c r="K237" s="826"/>
      <c r="L237" s="830">
        <f t="shared" si="150"/>
        <v>0</v>
      </c>
      <c r="M237" s="300">
        <f t="shared" si="154"/>
        <v>0</v>
      </c>
      <c r="N237" s="653" t="str">
        <f t="shared" si="155"/>
        <v>NO</v>
      </c>
      <c r="O237" s="868" t="str">
        <f t="shared" si="156"/>
        <v/>
      </c>
      <c r="Q237" s="1124" t="str">
        <f t="shared" ref="Q237" si="157">IF(M237=0,"",IF(M237=24,"","Shot count Error"))</f>
        <v/>
      </c>
      <c r="R237" s="1125"/>
    </row>
    <row r="238" spans="1:20" ht="17.100000000000001" hidden="1" customHeight="1" thickBot="1" x14ac:dyDescent="0.3">
      <c r="A238" s="689" t="s">
        <v>210</v>
      </c>
      <c r="B238" s="328"/>
      <c r="C238" s="331" t="s">
        <v>200</v>
      </c>
      <c r="D238" s="694">
        <v>1775</v>
      </c>
      <c r="E238" s="328" t="s">
        <v>16</v>
      </c>
      <c r="F238" s="277"/>
      <c r="G238" s="249"/>
      <c r="H238" s="249"/>
      <c r="I238" s="249"/>
      <c r="J238" s="249"/>
      <c r="K238" s="826"/>
      <c r="L238" s="830">
        <f t="shared" si="150"/>
        <v>0</v>
      </c>
      <c r="M238" s="300">
        <f t="shared" si="154"/>
        <v>0</v>
      </c>
      <c r="N238" s="653" t="str">
        <f t="shared" si="155"/>
        <v>NO</v>
      </c>
      <c r="O238" s="868" t="str">
        <f t="shared" si="156"/>
        <v/>
      </c>
      <c r="Q238" s="1124" t="str">
        <f t="shared" si="149"/>
        <v/>
      </c>
      <c r="R238" s="1125"/>
    </row>
    <row r="239" spans="1:20" ht="17.100000000000001" hidden="1" customHeight="1" thickBot="1" x14ac:dyDescent="0.3">
      <c r="A239" s="689" t="s">
        <v>210</v>
      </c>
      <c r="B239" s="328"/>
      <c r="C239" s="331" t="s">
        <v>199</v>
      </c>
      <c r="D239" s="694">
        <v>506</v>
      </c>
      <c r="E239" s="328" t="s">
        <v>16</v>
      </c>
      <c r="F239" s="277"/>
      <c r="G239" s="249"/>
      <c r="H239" s="249"/>
      <c r="I239" s="249"/>
      <c r="J239" s="249"/>
      <c r="K239" s="826"/>
      <c r="L239" s="830">
        <f t="shared" si="150"/>
        <v>0</v>
      </c>
      <c r="M239" s="300">
        <f t="shared" si="154"/>
        <v>0</v>
      </c>
      <c r="N239" s="653" t="str">
        <f t="shared" si="155"/>
        <v>NO</v>
      </c>
      <c r="O239" s="868" t="str">
        <f t="shared" si="156"/>
        <v/>
      </c>
      <c r="Q239" s="1124" t="str">
        <f t="shared" ref="Q239" si="158">IF(M239=0,"",IF(M239=24,"","Shot count Error"))</f>
        <v/>
      </c>
      <c r="R239" s="1125"/>
    </row>
    <row r="240" spans="1:20" ht="17.100000000000001" hidden="1" customHeight="1" thickBot="1" x14ac:dyDescent="0.3">
      <c r="A240" s="689" t="s">
        <v>210</v>
      </c>
      <c r="B240" s="328"/>
      <c r="C240" s="331" t="s">
        <v>165</v>
      </c>
      <c r="D240" s="694">
        <v>921</v>
      </c>
      <c r="E240" s="328" t="s">
        <v>16</v>
      </c>
      <c r="F240" s="277"/>
      <c r="G240" s="249"/>
      <c r="H240" s="249"/>
      <c r="I240" s="249"/>
      <c r="J240" s="249"/>
      <c r="K240" s="826"/>
      <c r="L240" s="830">
        <f t="shared" si="150"/>
        <v>0</v>
      </c>
      <c r="M240" s="300">
        <f t="shared" si="154"/>
        <v>0</v>
      </c>
      <c r="N240" s="653" t="str">
        <f t="shared" si="155"/>
        <v>NO</v>
      </c>
      <c r="O240" s="868" t="str">
        <f t="shared" si="156"/>
        <v/>
      </c>
      <c r="Q240" s="1124" t="str">
        <f t="shared" si="149"/>
        <v/>
      </c>
      <c r="R240" s="1125"/>
    </row>
    <row r="241" spans="1:18" ht="17.100000000000001" hidden="1" customHeight="1" thickBot="1" x14ac:dyDescent="0.3">
      <c r="A241" s="689" t="s">
        <v>210</v>
      </c>
      <c r="B241" s="328"/>
      <c r="C241" s="331" t="s">
        <v>144</v>
      </c>
      <c r="D241" s="694">
        <v>709</v>
      </c>
      <c r="E241" s="328" t="s">
        <v>16</v>
      </c>
      <c r="F241" s="277"/>
      <c r="G241" s="249"/>
      <c r="H241" s="249"/>
      <c r="I241" s="249"/>
      <c r="J241" s="249"/>
      <c r="K241" s="826"/>
      <c r="L241" s="830">
        <f t="shared" si="150"/>
        <v>0</v>
      </c>
      <c r="M241" s="300">
        <f t="shared" si="154"/>
        <v>0</v>
      </c>
      <c r="N241" s="653" t="str">
        <f t="shared" si="155"/>
        <v>NO</v>
      </c>
      <c r="O241" s="868" t="str">
        <f t="shared" si="156"/>
        <v/>
      </c>
      <c r="Q241" s="1124" t="str">
        <f t="shared" ref="Q241:Q259" si="159">IF(M241=0,"",IF(M241=24,"","Shot count Error"))</f>
        <v/>
      </c>
      <c r="R241" s="1125"/>
    </row>
    <row r="242" spans="1:18" ht="17.100000000000001" customHeight="1" x14ac:dyDescent="0.3">
      <c r="A242" s="689" t="s">
        <v>210</v>
      </c>
      <c r="B242" s="328" t="s">
        <v>353</v>
      </c>
      <c r="C242" s="331" t="s">
        <v>206</v>
      </c>
      <c r="D242" s="694">
        <v>1041</v>
      </c>
      <c r="E242" s="328" t="s">
        <v>16</v>
      </c>
      <c r="F242" s="277">
        <v>15</v>
      </c>
      <c r="G242" s="249">
        <v>15</v>
      </c>
      <c r="H242" s="249">
        <v>32</v>
      </c>
      <c r="I242" s="249">
        <v>21</v>
      </c>
      <c r="J242" s="249">
        <v>6</v>
      </c>
      <c r="K242" s="826">
        <v>0</v>
      </c>
      <c r="L242" s="830">
        <f t="shared" si="150"/>
        <v>89</v>
      </c>
      <c r="M242" s="300">
        <f t="shared" si="154"/>
        <v>24</v>
      </c>
      <c r="N242" s="653" t="str">
        <f t="shared" si="155"/>
        <v>NO</v>
      </c>
      <c r="O242" s="868" t="str">
        <f t="shared" si="156"/>
        <v/>
      </c>
      <c r="Q242" s="1124" t="str">
        <f t="shared" si="159"/>
        <v/>
      </c>
      <c r="R242" s="1125"/>
    </row>
    <row r="243" spans="1:18" ht="17.100000000000001" customHeight="1" x14ac:dyDescent="0.3">
      <c r="B243" s="544" t="s">
        <v>249</v>
      </c>
      <c r="C243" s="329" t="s">
        <v>343</v>
      </c>
      <c r="D243" s="993">
        <v>1618</v>
      </c>
      <c r="E243" s="544" t="s">
        <v>16</v>
      </c>
      <c r="F243" s="264">
        <v>0</v>
      </c>
      <c r="G243" s="217">
        <v>25</v>
      </c>
      <c r="H243" s="217">
        <v>32</v>
      </c>
      <c r="I243" s="217">
        <v>24</v>
      </c>
      <c r="J243" s="217">
        <v>6</v>
      </c>
      <c r="K243" s="994"/>
      <c r="L243" s="995">
        <f t="shared" si="150"/>
        <v>87</v>
      </c>
      <c r="M243" s="265">
        <f t="shared" si="154"/>
        <v>24</v>
      </c>
      <c r="N243" s="474" t="str">
        <f t="shared" si="155"/>
        <v>NO</v>
      </c>
      <c r="O243" s="965" t="str">
        <f t="shared" si="156"/>
        <v/>
      </c>
      <c r="Q243" s="1124" t="str">
        <f t="shared" ref="Q243:Q245" si="160">IF(M243=0,"",IF(M243=24,"","Shot count Error"))</f>
        <v/>
      </c>
      <c r="R243" s="1125"/>
    </row>
    <row r="244" spans="1:18" ht="17.100000000000001" customHeight="1" x14ac:dyDescent="0.3">
      <c r="B244" s="328" t="s">
        <v>305</v>
      </c>
      <c r="C244" s="331" t="s">
        <v>306</v>
      </c>
      <c r="D244" s="694">
        <v>1264</v>
      </c>
      <c r="E244" s="328" t="s">
        <v>16</v>
      </c>
      <c r="F244" s="277">
        <v>10</v>
      </c>
      <c r="G244" s="249">
        <v>15</v>
      </c>
      <c r="H244" s="249">
        <v>24</v>
      </c>
      <c r="I244" s="249">
        <v>27</v>
      </c>
      <c r="J244" s="249">
        <v>8</v>
      </c>
      <c r="K244" s="826"/>
      <c r="L244" s="995">
        <f t="shared" si="150"/>
        <v>84</v>
      </c>
      <c r="M244" s="265">
        <f t="shared" ref="M244" si="161">(F244/5)+(G244/5)+(H244/4)+(I244/3)+(J244/2)+K244</f>
        <v>24</v>
      </c>
      <c r="N244" s="474" t="str">
        <f t="shared" ref="N244" si="162">IF(L244&gt;102,"Yes","NO")</f>
        <v>NO</v>
      </c>
      <c r="O244" s="965" t="str">
        <f t="shared" ref="O244" si="163">IF(N244="yes","G","")</f>
        <v/>
      </c>
      <c r="Q244" s="1124" t="str">
        <f t="shared" ref="Q244" si="164">IF(M244=0,"",IF(M244=24,"","Shot count Error"))</f>
        <v/>
      </c>
      <c r="R244" s="1125"/>
    </row>
    <row r="245" spans="1:18" ht="17.100000000000001" customHeight="1" x14ac:dyDescent="0.3">
      <c r="B245" s="544" t="s">
        <v>257</v>
      </c>
      <c r="C245" s="329" t="s">
        <v>219</v>
      </c>
      <c r="D245" s="993">
        <v>1982</v>
      </c>
      <c r="E245" s="544" t="s">
        <v>17</v>
      </c>
      <c r="F245" s="264">
        <v>0</v>
      </c>
      <c r="G245" s="217">
        <v>10</v>
      </c>
      <c r="H245" s="217">
        <v>28</v>
      </c>
      <c r="I245" s="217">
        <v>18</v>
      </c>
      <c r="J245" s="217">
        <v>14</v>
      </c>
      <c r="K245" s="994">
        <v>2</v>
      </c>
      <c r="L245" s="995">
        <f t="shared" si="150"/>
        <v>70</v>
      </c>
      <c r="M245" s="265">
        <f t="shared" si="154"/>
        <v>24</v>
      </c>
      <c r="N245" s="474" t="str">
        <f t="shared" si="155"/>
        <v>NO</v>
      </c>
      <c r="O245" s="965" t="str">
        <f t="shared" si="156"/>
        <v/>
      </c>
      <c r="Q245" s="1124" t="str">
        <f t="shared" si="160"/>
        <v/>
      </c>
      <c r="R245" s="1125"/>
    </row>
    <row r="246" spans="1:18" ht="17.100000000000001" customHeight="1" thickBot="1" x14ac:dyDescent="0.35">
      <c r="A246" s="689" t="s">
        <v>210</v>
      </c>
      <c r="B246" s="333" t="s">
        <v>300</v>
      </c>
      <c r="C246" s="324" t="s">
        <v>110</v>
      </c>
      <c r="D246" s="714">
        <v>1465</v>
      </c>
      <c r="E246" s="333" t="s">
        <v>16</v>
      </c>
      <c r="F246" s="274"/>
      <c r="G246" s="236"/>
      <c r="H246" s="236"/>
      <c r="I246" s="236"/>
      <c r="J246" s="236"/>
      <c r="K246" s="827"/>
      <c r="L246" s="851">
        <f t="shared" si="150"/>
        <v>0</v>
      </c>
      <c r="M246" s="220">
        <f t="shared" si="154"/>
        <v>0</v>
      </c>
      <c r="N246" s="475" t="str">
        <f t="shared" si="155"/>
        <v>NO</v>
      </c>
      <c r="O246" s="869" t="str">
        <f t="shared" si="156"/>
        <v/>
      </c>
      <c r="Q246" s="1124" t="str">
        <f t="shared" si="159"/>
        <v/>
      </c>
      <c r="R246" s="1125"/>
    </row>
    <row r="247" spans="1:18" ht="17.100000000000001" customHeight="1" x14ac:dyDescent="0.3">
      <c r="A247" s="689" t="s">
        <v>210</v>
      </c>
      <c r="B247" s="323" t="s">
        <v>240</v>
      </c>
      <c r="C247" s="395" t="s">
        <v>175</v>
      </c>
      <c r="D247" s="225">
        <v>909</v>
      </c>
      <c r="E247" s="327" t="s">
        <v>17</v>
      </c>
      <c r="F247" s="292">
        <v>10</v>
      </c>
      <c r="G247" s="243">
        <v>20</v>
      </c>
      <c r="H247" s="243">
        <v>24</v>
      </c>
      <c r="I247" s="243">
        <v>24</v>
      </c>
      <c r="J247" s="243">
        <v>8</v>
      </c>
      <c r="K247" s="834"/>
      <c r="L247" s="871">
        <f t="shared" si="150"/>
        <v>86</v>
      </c>
      <c r="M247" s="272">
        <f t="shared" ref="M247:M260" si="165">(F247/5)+(G247/5)+(H247/4)+(I247/3)+(J247/2)+K247</f>
        <v>24</v>
      </c>
      <c r="N247" s="693" t="str">
        <f t="shared" ref="N247:N260" si="166">IF(L247&gt;84,"Yes","NO")</f>
        <v>Yes</v>
      </c>
      <c r="O247" s="872" t="str">
        <f t="shared" ref="O247:O260" si="167">IF(N247="yes","S","")</f>
        <v>S</v>
      </c>
      <c r="Q247" s="1124" t="str">
        <f t="shared" si="159"/>
        <v/>
      </c>
      <c r="R247" s="1125"/>
    </row>
    <row r="248" spans="1:18" ht="17.100000000000001" customHeight="1" x14ac:dyDescent="0.3">
      <c r="A248" s="689" t="s">
        <v>210</v>
      </c>
      <c r="B248" s="331"/>
      <c r="C248" s="546" t="s">
        <v>171</v>
      </c>
      <c r="D248" s="254">
        <v>1901</v>
      </c>
      <c r="E248" s="328" t="s">
        <v>17</v>
      </c>
      <c r="F248" s="277">
        <v>15</v>
      </c>
      <c r="G248" s="249">
        <v>10</v>
      </c>
      <c r="H248" s="249">
        <v>32</v>
      </c>
      <c r="I248" s="249">
        <v>18</v>
      </c>
      <c r="J248" s="249">
        <v>10</v>
      </c>
      <c r="K248" s="826">
        <v>0</v>
      </c>
      <c r="L248" s="830">
        <f t="shared" si="150"/>
        <v>85</v>
      </c>
      <c r="M248" s="300">
        <f t="shared" si="165"/>
        <v>24</v>
      </c>
      <c r="N248" s="653" t="str">
        <f t="shared" si="166"/>
        <v>Yes</v>
      </c>
      <c r="O248" s="868" t="str">
        <f t="shared" si="167"/>
        <v>S</v>
      </c>
      <c r="Q248" s="1124" t="str">
        <f t="shared" si="159"/>
        <v/>
      </c>
      <c r="R248" s="1125"/>
    </row>
    <row r="249" spans="1:18" ht="17.100000000000001" customHeight="1" x14ac:dyDescent="0.3">
      <c r="A249" s="689" t="s">
        <v>210</v>
      </c>
      <c r="B249" s="331" t="s">
        <v>321</v>
      </c>
      <c r="C249" s="546" t="s">
        <v>174</v>
      </c>
      <c r="D249" s="254">
        <v>2035</v>
      </c>
      <c r="E249" s="328" t="s">
        <v>17</v>
      </c>
      <c r="F249" s="277">
        <v>15</v>
      </c>
      <c r="G249" s="249">
        <v>10</v>
      </c>
      <c r="H249" s="249">
        <v>16</v>
      </c>
      <c r="I249" s="249">
        <v>18</v>
      </c>
      <c r="J249" s="249">
        <v>16</v>
      </c>
      <c r="K249" s="826">
        <v>1</v>
      </c>
      <c r="L249" s="830">
        <f t="shared" si="150"/>
        <v>75</v>
      </c>
      <c r="M249" s="300">
        <f t="shared" si="165"/>
        <v>24</v>
      </c>
      <c r="N249" s="653" t="str">
        <f t="shared" si="166"/>
        <v>NO</v>
      </c>
      <c r="O249" s="868" t="str">
        <f t="shared" si="167"/>
        <v/>
      </c>
      <c r="Q249" s="1124" t="str">
        <f t="shared" si="159"/>
        <v/>
      </c>
      <c r="R249" s="1125"/>
    </row>
    <row r="250" spans="1:18" ht="17.100000000000001" customHeight="1" x14ac:dyDescent="0.3">
      <c r="A250" s="689" t="s">
        <v>210</v>
      </c>
      <c r="B250" s="228"/>
      <c r="C250" s="689" t="s">
        <v>112</v>
      </c>
      <c r="D250" s="228">
        <v>2101</v>
      </c>
      <c r="E250" s="328" t="s">
        <v>17</v>
      </c>
      <c r="F250" s="277">
        <v>0</v>
      </c>
      <c r="G250" s="249">
        <v>15</v>
      </c>
      <c r="H250" s="249">
        <v>16</v>
      </c>
      <c r="I250" s="249">
        <v>27</v>
      </c>
      <c r="J250" s="249">
        <v>16</v>
      </c>
      <c r="K250" s="826"/>
      <c r="L250" s="830">
        <f t="shared" si="150"/>
        <v>74</v>
      </c>
      <c r="M250" s="300">
        <f t="shared" ref="M250" si="168">(F250/5)+(G250/5)+(H250/4)+(I250/3)+(J250/2)+K250</f>
        <v>24</v>
      </c>
      <c r="N250" s="653" t="str">
        <f t="shared" ref="N250" si="169">IF(L250&gt;84,"Yes","NO")</f>
        <v>NO</v>
      </c>
      <c r="O250" s="868" t="str">
        <f t="shared" si="167"/>
        <v/>
      </c>
      <c r="Q250" s="1124" t="str">
        <f t="shared" ref="Q250" si="170">IF(M250=0,"",IF(M250=24,"","Shot count Error"))</f>
        <v/>
      </c>
      <c r="R250" s="1125"/>
    </row>
    <row r="251" spans="1:18" ht="17.100000000000001" customHeight="1" x14ac:dyDescent="0.3">
      <c r="B251" s="331"/>
      <c r="C251" s="546" t="s">
        <v>366</v>
      </c>
      <c r="D251" s="254">
        <v>1624</v>
      </c>
      <c r="E251" s="328" t="s">
        <v>17</v>
      </c>
      <c r="F251" s="277">
        <v>0</v>
      </c>
      <c r="G251" s="249">
        <v>25</v>
      </c>
      <c r="H251" s="249">
        <v>4</v>
      </c>
      <c r="I251" s="249">
        <v>21</v>
      </c>
      <c r="J251" s="249">
        <v>14</v>
      </c>
      <c r="K251" s="826">
        <v>4</v>
      </c>
      <c r="L251" s="830">
        <f t="shared" si="150"/>
        <v>64</v>
      </c>
      <c r="M251" s="300">
        <f t="shared" si="165"/>
        <v>24</v>
      </c>
      <c r="N251" s="653" t="str">
        <f t="shared" si="166"/>
        <v>NO</v>
      </c>
      <c r="O251" s="868" t="str">
        <f t="shared" si="167"/>
        <v/>
      </c>
      <c r="Q251" s="1124" t="str">
        <f t="shared" ref="Q251" si="171">IF(M251=0,"",IF(M251=24,"","Shot count Error"))</f>
        <v/>
      </c>
      <c r="R251" s="1125"/>
    </row>
    <row r="252" spans="1:18" ht="17.100000000000001" customHeight="1" x14ac:dyDescent="0.3">
      <c r="B252" s="331" t="s">
        <v>331</v>
      </c>
      <c r="C252" s="546" t="s">
        <v>385</v>
      </c>
      <c r="D252" s="254">
        <v>2786</v>
      </c>
      <c r="E252" s="328" t="s">
        <v>17</v>
      </c>
      <c r="F252" s="277">
        <v>0</v>
      </c>
      <c r="G252" s="249">
        <v>0</v>
      </c>
      <c r="H252" s="249">
        <v>20</v>
      </c>
      <c r="I252" s="249">
        <v>24</v>
      </c>
      <c r="J252" s="249">
        <v>20</v>
      </c>
      <c r="K252" s="826">
        <v>1</v>
      </c>
      <c r="L252" s="830">
        <f t="shared" si="150"/>
        <v>64</v>
      </c>
      <c r="M252" s="300">
        <f t="shared" si="165"/>
        <v>24</v>
      </c>
      <c r="N252" s="653" t="str">
        <f t="shared" si="166"/>
        <v>NO</v>
      </c>
      <c r="O252" s="868" t="str">
        <f t="shared" si="167"/>
        <v/>
      </c>
      <c r="Q252" s="1124" t="str">
        <f t="shared" ref="Q252" si="172">IF(M252=0,"",IF(M252=24,"","Shot count Error"))</f>
        <v/>
      </c>
      <c r="R252" s="1125"/>
    </row>
    <row r="253" spans="1:18" ht="17.100000000000001" customHeight="1" x14ac:dyDescent="0.3">
      <c r="A253" s="689" t="s">
        <v>210</v>
      </c>
      <c r="B253" s="331" t="s">
        <v>262</v>
      </c>
      <c r="C253" s="546" t="s">
        <v>146</v>
      </c>
      <c r="D253" s="254">
        <v>1615</v>
      </c>
      <c r="E253" s="328" t="s">
        <v>17</v>
      </c>
      <c r="F253" s="277">
        <v>0</v>
      </c>
      <c r="G253" s="249">
        <v>0</v>
      </c>
      <c r="H253" s="249">
        <v>12</v>
      </c>
      <c r="I253" s="249">
        <v>30</v>
      </c>
      <c r="J253" s="249">
        <v>16</v>
      </c>
      <c r="K253" s="826">
        <v>3</v>
      </c>
      <c r="L253" s="830">
        <f t="shared" si="150"/>
        <v>58</v>
      </c>
      <c r="M253" s="300">
        <f t="shared" si="165"/>
        <v>24</v>
      </c>
      <c r="N253" s="653" t="str">
        <f t="shared" si="166"/>
        <v>NO</v>
      </c>
      <c r="O253" s="868" t="str">
        <f t="shared" si="167"/>
        <v/>
      </c>
      <c r="Q253" s="1124" t="str">
        <f t="shared" si="159"/>
        <v/>
      </c>
      <c r="R253" s="1125"/>
    </row>
    <row r="254" spans="1:18" ht="17.100000000000001" customHeight="1" x14ac:dyDescent="0.3">
      <c r="B254" s="331"/>
      <c r="C254" s="546" t="s">
        <v>368</v>
      </c>
      <c r="D254" s="254">
        <v>1742</v>
      </c>
      <c r="E254" s="328" t="s">
        <v>17</v>
      </c>
      <c r="F254" s="277">
        <v>0</v>
      </c>
      <c r="G254" s="249">
        <v>5</v>
      </c>
      <c r="H254" s="249">
        <v>12</v>
      </c>
      <c r="I254" s="249">
        <v>21</v>
      </c>
      <c r="J254" s="249">
        <v>20</v>
      </c>
      <c r="K254" s="826">
        <v>3</v>
      </c>
      <c r="L254" s="830">
        <f t="shared" si="150"/>
        <v>58</v>
      </c>
      <c r="M254" s="300">
        <f t="shared" si="165"/>
        <v>24</v>
      </c>
      <c r="N254" s="653" t="str">
        <f t="shared" si="166"/>
        <v>NO</v>
      </c>
      <c r="O254" s="868" t="str">
        <f t="shared" si="167"/>
        <v/>
      </c>
      <c r="Q254" s="1124" t="str">
        <f t="shared" ref="Q254" si="173">IF(M254=0,"",IF(M254=24,"","Shot count Error"))</f>
        <v/>
      </c>
      <c r="R254" s="1125"/>
    </row>
    <row r="255" spans="1:18" ht="17.100000000000001" customHeight="1" x14ac:dyDescent="0.3">
      <c r="A255" s="689" t="s">
        <v>210</v>
      </c>
      <c r="B255" s="331"/>
      <c r="C255" s="546" t="s">
        <v>367</v>
      </c>
      <c r="D255" s="254">
        <v>2233</v>
      </c>
      <c r="E255" s="328" t="s">
        <v>17</v>
      </c>
      <c r="F255" s="277">
        <v>0</v>
      </c>
      <c r="G255" s="249">
        <v>5</v>
      </c>
      <c r="H255" s="249">
        <v>4</v>
      </c>
      <c r="I255" s="249">
        <v>12</v>
      </c>
      <c r="J255" s="249">
        <v>12</v>
      </c>
      <c r="K255" s="826">
        <v>12</v>
      </c>
      <c r="L255" s="830">
        <f t="shared" si="150"/>
        <v>33</v>
      </c>
      <c r="M255" s="300">
        <f t="shared" si="165"/>
        <v>24</v>
      </c>
      <c r="N255" s="653" t="str">
        <f t="shared" si="166"/>
        <v>NO</v>
      </c>
      <c r="O255" s="868" t="str">
        <f t="shared" si="167"/>
        <v/>
      </c>
      <c r="Q255" s="1124" t="str">
        <f t="shared" si="159"/>
        <v/>
      </c>
      <c r="R255" s="1125"/>
    </row>
    <row r="256" spans="1:18" ht="17.100000000000001" customHeight="1" x14ac:dyDescent="0.3">
      <c r="A256" s="689" t="s">
        <v>210</v>
      </c>
      <c r="B256" s="331" t="s">
        <v>230</v>
      </c>
      <c r="C256" s="546" t="s">
        <v>229</v>
      </c>
      <c r="D256" s="254">
        <v>2157</v>
      </c>
      <c r="E256" s="328" t="s">
        <v>17</v>
      </c>
      <c r="F256" s="277"/>
      <c r="G256" s="249"/>
      <c r="H256" s="249"/>
      <c r="I256" s="249"/>
      <c r="J256" s="249"/>
      <c r="K256" s="826"/>
      <c r="L256" s="830">
        <f t="shared" si="150"/>
        <v>0</v>
      </c>
      <c r="M256" s="300">
        <f t="shared" si="165"/>
        <v>0</v>
      </c>
      <c r="N256" s="653" t="str">
        <f t="shared" si="166"/>
        <v>NO</v>
      </c>
      <c r="O256" s="868" t="str">
        <f t="shared" si="167"/>
        <v/>
      </c>
      <c r="Q256" s="1124" t="str">
        <f t="shared" si="159"/>
        <v/>
      </c>
      <c r="R256" s="1125"/>
    </row>
    <row r="257" spans="1:20" ht="17.100000000000001" customHeight="1" x14ac:dyDescent="0.3">
      <c r="A257" s="689" t="s">
        <v>210</v>
      </c>
      <c r="B257" s="331" t="s">
        <v>322</v>
      </c>
      <c r="C257" s="546" t="s">
        <v>145</v>
      </c>
      <c r="D257" s="254">
        <v>1764</v>
      </c>
      <c r="E257" s="328" t="s">
        <v>17</v>
      </c>
      <c r="F257" s="277"/>
      <c r="G257" s="249"/>
      <c r="H257" s="249"/>
      <c r="I257" s="249"/>
      <c r="J257" s="249"/>
      <c r="K257" s="826"/>
      <c r="L257" s="830">
        <f t="shared" si="150"/>
        <v>0</v>
      </c>
      <c r="M257" s="300">
        <f t="shared" si="165"/>
        <v>0</v>
      </c>
      <c r="N257" s="653" t="str">
        <f t="shared" si="166"/>
        <v>NO</v>
      </c>
      <c r="O257" s="868" t="str">
        <f t="shared" si="167"/>
        <v/>
      </c>
      <c r="Q257" s="1124" t="str">
        <f t="shared" si="159"/>
        <v/>
      </c>
      <c r="R257" s="1125"/>
    </row>
    <row r="258" spans="1:20" ht="17.100000000000001" customHeight="1" x14ac:dyDescent="0.3">
      <c r="A258" s="689" t="s">
        <v>210</v>
      </c>
      <c r="B258" s="331" t="s">
        <v>284</v>
      </c>
      <c r="C258" s="546" t="s">
        <v>170</v>
      </c>
      <c r="D258" s="254">
        <v>1853</v>
      </c>
      <c r="E258" s="328" t="s">
        <v>17</v>
      </c>
      <c r="F258" s="277"/>
      <c r="G258" s="249"/>
      <c r="H258" s="249"/>
      <c r="I258" s="249"/>
      <c r="J258" s="249"/>
      <c r="K258" s="826"/>
      <c r="L258" s="830">
        <f t="shared" si="150"/>
        <v>0</v>
      </c>
      <c r="M258" s="300">
        <f t="shared" si="165"/>
        <v>0</v>
      </c>
      <c r="N258" s="653" t="str">
        <f t="shared" si="166"/>
        <v>NO</v>
      </c>
      <c r="O258" s="868" t="str">
        <f t="shared" si="167"/>
        <v/>
      </c>
      <c r="Q258" s="1124" t="str">
        <f t="shared" si="159"/>
        <v/>
      </c>
      <c r="R258" s="1125"/>
    </row>
    <row r="259" spans="1:20" ht="17.100000000000001" customHeight="1" x14ac:dyDescent="0.3">
      <c r="A259" s="689" t="s">
        <v>210</v>
      </c>
      <c r="B259" s="331" t="s">
        <v>261</v>
      </c>
      <c r="C259" s="546" t="s">
        <v>290</v>
      </c>
      <c r="D259" s="254">
        <v>1577</v>
      </c>
      <c r="E259" s="328" t="s">
        <v>17</v>
      </c>
      <c r="F259" s="277"/>
      <c r="G259" s="249"/>
      <c r="H259" s="249"/>
      <c r="I259" s="249"/>
      <c r="J259" s="249"/>
      <c r="K259" s="826"/>
      <c r="L259" s="830">
        <f t="shared" si="150"/>
        <v>0</v>
      </c>
      <c r="M259" s="300">
        <f t="shared" si="165"/>
        <v>0</v>
      </c>
      <c r="N259" s="653" t="str">
        <f t="shared" si="166"/>
        <v>NO</v>
      </c>
      <c r="O259" s="868" t="str">
        <f t="shared" si="167"/>
        <v/>
      </c>
      <c r="Q259" s="1124" t="str">
        <f t="shared" si="159"/>
        <v/>
      </c>
      <c r="R259" s="1125"/>
    </row>
    <row r="260" spans="1:20" ht="17.100000000000001" customHeight="1" thickBot="1" x14ac:dyDescent="0.35">
      <c r="A260" s="689" t="s">
        <v>210</v>
      </c>
      <c r="B260" s="324" t="s">
        <v>164</v>
      </c>
      <c r="C260" s="398" t="s">
        <v>141</v>
      </c>
      <c r="D260" s="241">
        <v>168</v>
      </c>
      <c r="E260" s="333" t="s">
        <v>17</v>
      </c>
      <c r="F260" s="274"/>
      <c r="G260" s="236"/>
      <c r="H260" s="236"/>
      <c r="I260" s="236"/>
      <c r="J260" s="236"/>
      <c r="K260" s="827"/>
      <c r="L260" s="851">
        <f t="shared" si="150"/>
        <v>0</v>
      </c>
      <c r="M260" s="220">
        <f t="shared" si="165"/>
        <v>0</v>
      </c>
      <c r="N260" s="475" t="str">
        <f t="shared" si="166"/>
        <v>NO</v>
      </c>
      <c r="O260" s="869" t="str">
        <f t="shared" si="167"/>
        <v/>
      </c>
      <c r="Q260" s="1138" t="str">
        <f t="shared" si="149"/>
        <v/>
      </c>
      <c r="R260" s="1139"/>
    </row>
    <row r="261" spans="1:20" ht="24" customHeight="1" thickBot="1" x14ac:dyDescent="0.35">
      <c r="B261" s="967">
        <f>COUNTA(B235:B260)</f>
        <v>15</v>
      </c>
      <c r="C261" s="785" t="s">
        <v>71</v>
      </c>
      <c r="D261" s="1112" t="s">
        <v>72</v>
      </c>
      <c r="E261" s="1113"/>
      <c r="F261" s="1113"/>
      <c r="G261" s="1113"/>
      <c r="H261" s="1113"/>
      <c r="I261" s="1113"/>
      <c r="J261" s="1113"/>
      <c r="K261" s="1113"/>
      <c r="L261" s="1113"/>
      <c r="M261" s="1113"/>
      <c r="N261" s="1113"/>
      <c r="O261" s="1114"/>
    </row>
    <row r="262" spans="1:20" ht="24" customHeight="1" x14ac:dyDescent="0.3">
      <c r="C262" s="289"/>
      <c r="D262" s="289"/>
      <c r="E262" s="289"/>
      <c r="F262" s="289"/>
      <c r="G262" s="289"/>
      <c r="H262" s="289"/>
      <c r="I262" s="289"/>
      <c r="J262" s="289"/>
      <c r="K262" s="289"/>
      <c r="L262" s="289"/>
      <c r="M262" s="289"/>
      <c r="N262" s="289"/>
      <c r="O262" s="289"/>
    </row>
    <row r="263" spans="1:20" ht="18.600000000000001" thickBot="1" x14ac:dyDescent="0.35"/>
    <row r="264" spans="1:20" ht="21.9" customHeight="1" thickBot="1" x14ac:dyDescent="0.35">
      <c r="C264" s="1117" t="s">
        <v>22</v>
      </c>
      <c r="D264" s="1118"/>
      <c r="E264" s="1118"/>
      <c r="F264" s="1118"/>
      <c r="G264" s="1118"/>
      <c r="H264" s="1118"/>
      <c r="I264" s="1119"/>
      <c r="J264" s="1115" t="s">
        <v>182</v>
      </c>
      <c r="K264" s="1116"/>
      <c r="L264" s="598">
        <v>24</v>
      </c>
      <c r="M264" s="1120" t="s">
        <v>189</v>
      </c>
      <c r="N264" s="1121"/>
      <c r="O264" s="587">
        <v>120</v>
      </c>
      <c r="Q264" s="1130" t="s">
        <v>185</v>
      </c>
      <c r="R264" s="1131"/>
    </row>
    <row r="265" spans="1:20" s="196" customFormat="1" ht="27" customHeight="1" thickBot="1" x14ac:dyDescent="0.35">
      <c r="A265" s="689"/>
      <c r="B265" s="1012" t="s">
        <v>154</v>
      </c>
      <c r="C265" s="258" t="s">
        <v>0</v>
      </c>
      <c r="D265" s="466" t="s">
        <v>1</v>
      </c>
      <c r="E265" s="200" t="s">
        <v>2</v>
      </c>
      <c r="F265" s="471" t="s">
        <v>48</v>
      </c>
      <c r="G265" s="718">
        <v>5</v>
      </c>
      <c r="H265" s="718">
        <v>4</v>
      </c>
      <c r="I265" s="718">
        <v>3</v>
      </c>
      <c r="J265" s="718">
        <v>2</v>
      </c>
      <c r="K265" s="303">
        <v>0</v>
      </c>
      <c r="L265" s="212" t="s">
        <v>9</v>
      </c>
      <c r="M265" s="290" t="s">
        <v>50</v>
      </c>
      <c r="N265" s="392" t="s">
        <v>59</v>
      </c>
      <c r="O265" s="403" t="s">
        <v>60</v>
      </c>
      <c r="Q265" s="1132"/>
      <c r="R265" s="1133"/>
      <c r="T265" s="581"/>
    </row>
    <row r="266" spans="1:20" s="196" customFormat="1" ht="20.25" hidden="1" customHeight="1" thickBot="1" x14ac:dyDescent="0.35">
      <c r="A266" s="689"/>
      <c r="B266" s="200"/>
      <c r="C266" s="258" t="s">
        <v>147</v>
      </c>
      <c r="D266" s="720">
        <v>2149</v>
      </c>
      <c r="E266" s="721" t="s">
        <v>18</v>
      </c>
      <c r="F266" s="267"/>
      <c r="G266" s="267"/>
      <c r="H266" s="268"/>
      <c r="I266" s="268"/>
      <c r="J266" s="268"/>
      <c r="K266" s="722"/>
      <c r="L266" s="205">
        <f>SUM($F266:$J266)</f>
        <v>0</v>
      </c>
      <c r="M266" s="281">
        <f t="shared" ref="M266" si="174">(F266/5)+(G266/5)+(H266/4)+(I266/3)+(J266/2)+K266</f>
        <v>0</v>
      </c>
      <c r="N266" s="1180"/>
      <c r="O266" s="1181"/>
      <c r="Q266" s="711"/>
      <c r="R266" s="712"/>
      <c r="T266" s="581"/>
    </row>
    <row r="267" spans="1:20" ht="17.100000000000001" hidden="1" customHeight="1" thickBot="1" x14ac:dyDescent="0.35">
      <c r="A267" s="689" t="s">
        <v>211</v>
      </c>
      <c r="B267" s="200"/>
      <c r="C267" s="206" t="s">
        <v>143</v>
      </c>
      <c r="D267" s="228">
        <v>1786</v>
      </c>
      <c r="E267" s="325" t="s">
        <v>14</v>
      </c>
      <c r="F267" s="267"/>
      <c r="G267" s="267"/>
      <c r="H267" s="268"/>
      <c r="I267" s="268"/>
      <c r="J267" s="268"/>
      <c r="K267" s="722"/>
      <c r="L267" s="242">
        <f t="shared" ref="L267:L268" si="175">SUM($F267:$J267)</f>
        <v>0</v>
      </c>
      <c r="M267" s="245">
        <f t="shared" ref="M267:M276" si="176">(F267/5)+(G267/5)+(H267/4)+(I267/3)+(J267/2)+K267</f>
        <v>0</v>
      </c>
      <c r="N267" s="397" t="str">
        <f>IF(L267&gt;114,"Yes","NO")</f>
        <v>NO</v>
      </c>
      <c r="O267" s="606" t="str">
        <f>IF(N267="yes","HM","")</f>
        <v/>
      </c>
      <c r="Q267" s="1110" t="str">
        <f t="shared" ref="Q267:Q288" si="177">IF(M267=0,"",IF(M267=24,"","Shot count Error"))</f>
        <v/>
      </c>
      <c r="R267" s="1111"/>
    </row>
    <row r="268" spans="1:20" ht="17.100000000000001" hidden="1" customHeight="1" thickBot="1" x14ac:dyDescent="0.35">
      <c r="A268" s="689" t="s">
        <v>211</v>
      </c>
      <c r="B268" s="200"/>
      <c r="C268" s="398" t="s">
        <v>202</v>
      </c>
      <c r="D268" s="241">
        <v>1783</v>
      </c>
      <c r="E268" s="475" t="s">
        <v>14</v>
      </c>
      <c r="F268" s="267"/>
      <c r="G268" s="267"/>
      <c r="H268" s="268"/>
      <c r="I268" s="268"/>
      <c r="J268" s="268"/>
      <c r="K268" s="722"/>
      <c r="L268" s="219">
        <f t="shared" si="175"/>
        <v>0</v>
      </c>
      <c r="M268" s="239">
        <f t="shared" si="176"/>
        <v>0</v>
      </c>
      <c r="N268" s="333" t="str">
        <f>IF(L268&gt;114,"Yes","NO")</f>
        <v>NO</v>
      </c>
      <c r="O268" s="607" t="str">
        <f>IF(N268="yes","HM","")</f>
        <v/>
      </c>
      <c r="Q268" s="1110" t="str">
        <f t="shared" ref="Q268:Q278" si="178">IF(M268=0,"",IF(M268=24,"","Shot count Error"))</f>
        <v/>
      </c>
      <c r="R268" s="1111"/>
    </row>
    <row r="269" spans="1:20" ht="17.100000000000001" hidden="1" customHeight="1" thickBot="1" x14ac:dyDescent="0.35">
      <c r="A269" s="689" t="s">
        <v>211</v>
      </c>
      <c r="B269" s="200"/>
      <c r="C269" s="206" t="s">
        <v>197</v>
      </c>
      <c r="D269" s="228">
        <v>786</v>
      </c>
      <c r="E269" s="330" t="s">
        <v>15</v>
      </c>
      <c r="F269" s="267"/>
      <c r="G269" s="267"/>
      <c r="H269" s="268"/>
      <c r="I269" s="268"/>
      <c r="J269" s="268"/>
      <c r="K269" s="722"/>
      <c r="L269" s="212">
        <f t="shared" ref="L269:L274" si="179">SUM($F269:$J269)</f>
        <v>0</v>
      </c>
      <c r="M269" s="213">
        <f t="shared" ref="M269:M273" si="180">(F269/5)+(G269/5)+(H269/4)+(I269/3)+(J269/2)+K269</f>
        <v>0</v>
      </c>
      <c r="N269" s="397" t="str">
        <f>IF(L269&gt;109,"Yes","NO")</f>
        <v>NO</v>
      </c>
      <c r="O269" s="606" t="str">
        <f>IF(N269="yes","M","")</f>
        <v/>
      </c>
      <c r="Q269" s="1110" t="str">
        <f t="shared" si="178"/>
        <v/>
      </c>
      <c r="R269" s="1111"/>
    </row>
    <row r="270" spans="1:20" ht="17.100000000000001" hidden="1" customHeight="1" thickBot="1" x14ac:dyDescent="0.35">
      <c r="A270" s="689" t="s">
        <v>211</v>
      </c>
      <c r="B270" s="200"/>
      <c r="C270" s="546" t="s">
        <v>168</v>
      </c>
      <c r="D270" s="254">
        <v>1475</v>
      </c>
      <c r="E270" s="331" t="s">
        <v>15</v>
      </c>
      <c r="F270" s="267"/>
      <c r="G270" s="267"/>
      <c r="H270" s="268"/>
      <c r="I270" s="268"/>
      <c r="J270" s="268"/>
      <c r="K270" s="722"/>
      <c r="L270" s="230">
        <f t="shared" si="179"/>
        <v>0</v>
      </c>
      <c r="M270" s="250">
        <f t="shared" ref="M270" si="181">(F270/5)+(G270/5)+(H270/4)+(I270/3)+(J270/2)+K270</f>
        <v>0</v>
      </c>
      <c r="N270" s="546" t="str">
        <f>IF(L270&gt;114,"Yes","NO")</f>
        <v>NO</v>
      </c>
      <c r="O270" s="604" t="str">
        <f>IF(N270="yes","M","")</f>
        <v/>
      </c>
      <c r="Q270" s="1110" t="str">
        <f t="shared" si="178"/>
        <v/>
      </c>
      <c r="R270" s="1111"/>
    </row>
    <row r="271" spans="1:20" ht="17.100000000000001" hidden="1" customHeight="1" thickBot="1" x14ac:dyDescent="0.35">
      <c r="A271" s="689" t="s">
        <v>211</v>
      </c>
      <c r="B271" s="200"/>
      <c r="C271" s="396" t="s">
        <v>198</v>
      </c>
      <c r="D271" s="232">
        <v>3624</v>
      </c>
      <c r="E271" s="331" t="s">
        <v>15</v>
      </c>
      <c r="F271" s="267"/>
      <c r="G271" s="267"/>
      <c r="H271" s="268"/>
      <c r="I271" s="268"/>
      <c r="J271" s="268"/>
      <c r="K271" s="722"/>
      <c r="L271" s="242">
        <f t="shared" si="179"/>
        <v>0</v>
      </c>
      <c r="M271" s="245">
        <f t="shared" ref="M271:M272" si="182">(F271/5)+(G271/5)+(H271/4)+(I271/3)+(J271/2)+K271</f>
        <v>0</v>
      </c>
      <c r="N271" s="395" t="str">
        <f t="shared" ref="N271:N272" si="183">IF(L271&gt;109,"Yes","NO")</f>
        <v>NO</v>
      </c>
      <c r="O271" s="603" t="str">
        <f t="shared" ref="O271:O272" si="184">IF(N271="yes","M","")</f>
        <v/>
      </c>
      <c r="Q271" s="1110" t="str">
        <f t="shared" si="178"/>
        <v/>
      </c>
      <c r="R271" s="1111"/>
    </row>
    <row r="272" spans="1:20" ht="17.100000000000001" hidden="1" customHeight="1" thickBot="1" x14ac:dyDescent="0.35">
      <c r="A272" s="689" t="s">
        <v>211</v>
      </c>
      <c r="B272" s="200"/>
      <c r="C272" s="546" t="s">
        <v>192</v>
      </c>
      <c r="D272" s="254">
        <v>2434</v>
      </c>
      <c r="E272" s="331" t="s">
        <v>15</v>
      </c>
      <c r="F272" s="267"/>
      <c r="G272" s="267"/>
      <c r="H272" s="268"/>
      <c r="I272" s="268"/>
      <c r="J272" s="268"/>
      <c r="K272" s="722"/>
      <c r="L272" s="230">
        <f t="shared" si="179"/>
        <v>0</v>
      </c>
      <c r="M272" s="250">
        <f t="shared" si="182"/>
        <v>0</v>
      </c>
      <c r="N272" s="546" t="str">
        <f t="shared" si="183"/>
        <v>NO</v>
      </c>
      <c r="O272" s="604" t="str">
        <f t="shared" si="184"/>
        <v/>
      </c>
      <c r="Q272" s="1110" t="str">
        <f t="shared" si="178"/>
        <v/>
      </c>
      <c r="R272" s="1111"/>
    </row>
    <row r="273" spans="1:20" ht="17.100000000000001" hidden="1" customHeight="1" thickBot="1" x14ac:dyDescent="0.35">
      <c r="A273" s="689" t="s">
        <v>211</v>
      </c>
      <c r="B273" s="200"/>
      <c r="C273" s="206" t="s">
        <v>158</v>
      </c>
      <c r="D273" s="228">
        <v>80</v>
      </c>
      <c r="E273" s="332" t="s">
        <v>15</v>
      </c>
      <c r="F273" s="267"/>
      <c r="G273" s="267"/>
      <c r="H273" s="268"/>
      <c r="I273" s="268"/>
      <c r="J273" s="268"/>
      <c r="K273" s="722"/>
      <c r="L273" s="226">
        <f t="shared" si="179"/>
        <v>0</v>
      </c>
      <c r="M273" s="224">
        <f t="shared" si="180"/>
        <v>0</v>
      </c>
      <c r="N273" s="206" t="str">
        <f>IF(L273&gt;109,"Yes","NO")</f>
        <v>NO</v>
      </c>
      <c r="O273" s="609" t="str">
        <f>IF(N273="yes","M","")</f>
        <v/>
      </c>
      <c r="Q273" s="1110" t="str">
        <f t="shared" si="178"/>
        <v/>
      </c>
      <c r="R273" s="1111"/>
    </row>
    <row r="274" spans="1:20" ht="17.100000000000001" hidden="1" customHeight="1" thickBot="1" x14ac:dyDescent="0.35">
      <c r="A274" s="689" t="s">
        <v>211</v>
      </c>
      <c r="B274" s="200"/>
      <c r="C274" s="398" t="s">
        <v>138</v>
      </c>
      <c r="D274" s="241">
        <v>2138</v>
      </c>
      <c r="E274" s="324" t="s">
        <v>15</v>
      </c>
      <c r="F274" s="267"/>
      <c r="G274" s="267"/>
      <c r="H274" s="268"/>
      <c r="I274" s="268"/>
      <c r="J274" s="268"/>
      <c r="K274" s="722"/>
      <c r="L274" s="219">
        <f t="shared" si="179"/>
        <v>0</v>
      </c>
      <c r="M274" s="231">
        <f t="shared" si="176"/>
        <v>0</v>
      </c>
      <c r="N274" s="396" t="str">
        <f>IF(L274&gt;109,"Yes","NO")</f>
        <v>NO</v>
      </c>
      <c r="O274" s="607" t="str">
        <f>IF(N274="yes","M","")</f>
        <v/>
      </c>
      <c r="Q274" s="1110" t="str">
        <f t="shared" si="178"/>
        <v/>
      </c>
      <c r="R274" s="1111"/>
    </row>
    <row r="275" spans="1:20" ht="17.100000000000001" hidden="1" customHeight="1" thickBot="1" x14ac:dyDescent="0.35">
      <c r="A275" s="689" t="s">
        <v>211</v>
      </c>
      <c r="B275" s="330"/>
      <c r="C275" s="206" t="s">
        <v>176</v>
      </c>
      <c r="D275" s="227">
        <v>2296</v>
      </c>
      <c r="E275" s="332" t="s">
        <v>16</v>
      </c>
      <c r="F275" s="222"/>
      <c r="G275" s="222"/>
      <c r="H275" s="223"/>
      <c r="I275" s="223"/>
      <c r="J275" s="223"/>
      <c r="K275" s="211"/>
      <c r="L275" s="873">
        <f t="shared" ref="L275:L276" si="185">SUM($F275:$J275)</f>
        <v>0</v>
      </c>
      <c r="M275" s="874">
        <f t="shared" si="176"/>
        <v>0</v>
      </c>
      <c r="N275" s="330" t="str">
        <f>IF(L275&gt;102,"Yes","NO")</f>
        <v>NO</v>
      </c>
      <c r="O275" s="875" t="str">
        <f>IF(N275="yes","G","")</f>
        <v/>
      </c>
      <c r="Q275" s="1153" t="str">
        <f t="shared" si="178"/>
        <v/>
      </c>
      <c r="R275" s="1154"/>
    </row>
    <row r="276" spans="1:20" ht="17.100000000000001" customHeight="1" thickBot="1" x14ac:dyDescent="0.35">
      <c r="B276" s="200"/>
      <c r="C276" s="206" t="s">
        <v>192</v>
      </c>
      <c r="D276" s="227">
        <v>2434</v>
      </c>
      <c r="E276" s="975" t="s">
        <v>15</v>
      </c>
      <c r="F276" s="222">
        <v>0</v>
      </c>
      <c r="G276" s="222">
        <v>35</v>
      </c>
      <c r="H276" s="223">
        <v>36</v>
      </c>
      <c r="I276" s="223">
        <v>24</v>
      </c>
      <c r="J276" s="223"/>
      <c r="K276" s="1011"/>
      <c r="L276" s="828">
        <f t="shared" si="185"/>
        <v>95</v>
      </c>
      <c r="M276" s="334">
        <f t="shared" si="176"/>
        <v>24</v>
      </c>
      <c r="N276" s="309" t="str">
        <f t="shared" ref="N276" si="186">IF(L276&gt;102,"Yes","NO")</f>
        <v>NO</v>
      </c>
      <c r="O276" s="1024" t="str">
        <f t="shared" ref="O276" si="187">IF(N276="yes","G","")</f>
        <v/>
      </c>
      <c r="Q276" s="741"/>
      <c r="R276" s="743"/>
    </row>
    <row r="277" spans="1:20" ht="17.100000000000001" customHeight="1" x14ac:dyDescent="0.3">
      <c r="A277" s="689" t="s">
        <v>211</v>
      </c>
      <c r="B277" s="326" t="s">
        <v>248</v>
      </c>
      <c r="C277" s="326" t="s">
        <v>115</v>
      </c>
      <c r="D277" s="225">
        <v>1383</v>
      </c>
      <c r="E277" s="654" t="s">
        <v>16</v>
      </c>
      <c r="F277" s="209">
        <v>20</v>
      </c>
      <c r="G277" s="210">
        <v>20</v>
      </c>
      <c r="H277" s="210">
        <v>40</v>
      </c>
      <c r="I277" s="210">
        <v>18</v>
      </c>
      <c r="J277" s="210"/>
      <c r="K277" s="876"/>
      <c r="L277" s="833">
        <f t="shared" ref="L277:L284" si="188">SUM($F277:$J277)</f>
        <v>98</v>
      </c>
      <c r="M277" s="260">
        <f t="shared" ref="M277:M291" si="189">(F277/5)+(G277/5)+(H277/4)+(I277/3)+(J277/2)+K277</f>
        <v>24</v>
      </c>
      <c r="N277" s="654" t="str">
        <f>IF(L277&gt;102,"Yes","NO")</f>
        <v>NO</v>
      </c>
      <c r="O277" s="861"/>
      <c r="P277" s="295"/>
      <c r="Q277" s="1140" t="str">
        <f t="shared" si="178"/>
        <v/>
      </c>
      <c r="R277" s="1141"/>
    </row>
    <row r="278" spans="1:20" ht="17.100000000000001" customHeight="1" x14ac:dyDescent="0.3">
      <c r="A278" s="689" t="s">
        <v>211</v>
      </c>
      <c r="B278" s="328" t="s">
        <v>305</v>
      </c>
      <c r="C278" s="328" t="s">
        <v>306</v>
      </c>
      <c r="D278" s="254">
        <v>1264</v>
      </c>
      <c r="E278" s="653" t="s">
        <v>16</v>
      </c>
      <c r="F278" s="248">
        <v>10</v>
      </c>
      <c r="G278" s="249">
        <v>15</v>
      </c>
      <c r="H278" s="249">
        <v>28</v>
      </c>
      <c r="I278" s="249">
        <v>15</v>
      </c>
      <c r="J278" s="249">
        <v>14</v>
      </c>
      <c r="K278" s="877"/>
      <c r="L278" s="729">
        <f t="shared" si="188"/>
        <v>82</v>
      </c>
      <c r="M278" s="300">
        <f t="shared" si="189"/>
        <v>24</v>
      </c>
      <c r="N278" s="653" t="str">
        <f>IF(L278&gt;102,"Yes","NO")</f>
        <v>NO</v>
      </c>
      <c r="O278" s="731" t="str">
        <f t="shared" ref="O278:O284" si="190">IF(N278="yes","G","")</f>
        <v/>
      </c>
      <c r="Q278" s="1124" t="str">
        <f t="shared" si="178"/>
        <v/>
      </c>
      <c r="R278" s="1125"/>
    </row>
    <row r="279" spans="1:20" ht="17.100000000000001" customHeight="1" x14ac:dyDescent="0.3">
      <c r="A279" s="689" t="s">
        <v>211</v>
      </c>
      <c r="B279" s="328" t="s">
        <v>249</v>
      </c>
      <c r="C279" s="328" t="s">
        <v>343</v>
      </c>
      <c r="D279" s="254">
        <v>1618</v>
      </c>
      <c r="E279" s="653" t="s">
        <v>16</v>
      </c>
      <c r="F279" s="248">
        <v>10</v>
      </c>
      <c r="G279" s="249">
        <v>0</v>
      </c>
      <c r="H279" s="249">
        <v>28</v>
      </c>
      <c r="I279" s="249">
        <v>24</v>
      </c>
      <c r="J279" s="249">
        <v>14</v>
      </c>
      <c r="K279" s="877"/>
      <c r="L279" s="729">
        <f t="shared" si="188"/>
        <v>76</v>
      </c>
      <c r="M279" s="300">
        <f t="shared" si="189"/>
        <v>24</v>
      </c>
      <c r="N279" s="653" t="str">
        <f>IF(L279&gt;102,"Yes","NO")</f>
        <v>NO</v>
      </c>
      <c r="O279" s="731" t="str">
        <f t="shared" si="190"/>
        <v/>
      </c>
      <c r="Q279" s="1124" t="str">
        <f t="shared" si="177"/>
        <v/>
      </c>
      <c r="R279" s="1125"/>
      <c r="T279" s="581" t="s">
        <v>10</v>
      </c>
    </row>
    <row r="280" spans="1:20" ht="17.100000000000001" customHeight="1" x14ac:dyDescent="0.3">
      <c r="A280" s="689" t="s">
        <v>211</v>
      </c>
      <c r="B280" s="328" t="s">
        <v>262</v>
      </c>
      <c r="C280" s="328" t="s">
        <v>146</v>
      </c>
      <c r="D280" s="254">
        <v>1615</v>
      </c>
      <c r="E280" s="653" t="s">
        <v>16</v>
      </c>
      <c r="F280" s="248">
        <v>0</v>
      </c>
      <c r="G280" s="249">
        <v>15</v>
      </c>
      <c r="H280" s="249">
        <v>24</v>
      </c>
      <c r="I280" s="249">
        <v>15</v>
      </c>
      <c r="J280" s="249">
        <v>20</v>
      </c>
      <c r="K280" s="877"/>
      <c r="L280" s="729">
        <f t="shared" si="188"/>
        <v>74</v>
      </c>
      <c r="M280" s="300">
        <f t="shared" si="189"/>
        <v>24</v>
      </c>
      <c r="N280" s="653" t="str">
        <f t="shared" ref="N280:N282" si="191">IF(L280&gt;102,"Yes","NO")</f>
        <v>NO</v>
      </c>
      <c r="O280" s="731" t="str">
        <f t="shared" si="190"/>
        <v/>
      </c>
      <c r="Q280" s="1124" t="str">
        <f t="shared" ref="Q280:Q281" si="192">IF(M280=0,"",IF(M280=24,"","Shot count Error"))</f>
        <v/>
      </c>
      <c r="R280" s="1125"/>
    </row>
    <row r="281" spans="1:20" ht="17.100000000000001" customHeight="1" x14ac:dyDescent="0.3">
      <c r="B281" s="328" t="s">
        <v>34</v>
      </c>
      <c r="C281" s="328" t="s">
        <v>242</v>
      </c>
      <c r="D281" s="254">
        <v>1661</v>
      </c>
      <c r="E281" s="653" t="s">
        <v>16</v>
      </c>
      <c r="F281" s="248">
        <v>0</v>
      </c>
      <c r="G281" s="249">
        <v>10</v>
      </c>
      <c r="H281" s="249">
        <v>32</v>
      </c>
      <c r="I281" s="249">
        <v>21</v>
      </c>
      <c r="J281" s="249">
        <v>10</v>
      </c>
      <c r="K281" s="877">
        <v>2</v>
      </c>
      <c r="L281" s="729">
        <f t="shared" si="188"/>
        <v>73</v>
      </c>
      <c r="M281" s="300">
        <f t="shared" si="189"/>
        <v>24</v>
      </c>
      <c r="N281" s="653" t="str">
        <f t="shared" si="191"/>
        <v>NO</v>
      </c>
      <c r="O281" s="731" t="str">
        <f t="shared" si="190"/>
        <v/>
      </c>
      <c r="Q281" s="1124" t="str">
        <f t="shared" si="192"/>
        <v/>
      </c>
      <c r="R281" s="1125"/>
    </row>
    <row r="282" spans="1:20" ht="17.100000000000001" customHeight="1" x14ac:dyDescent="0.3">
      <c r="B282" s="328"/>
      <c r="C282" s="328" t="s">
        <v>145</v>
      </c>
      <c r="D282" s="254">
        <v>1764</v>
      </c>
      <c r="E282" s="653" t="s">
        <v>16</v>
      </c>
      <c r="F282" s="248">
        <v>0</v>
      </c>
      <c r="G282" s="249">
        <v>15</v>
      </c>
      <c r="H282" s="249">
        <v>16</v>
      </c>
      <c r="I282" s="249">
        <v>39</v>
      </c>
      <c r="J282" s="249">
        <v>2</v>
      </c>
      <c r="K282" s="877">
        <v>3</v>
      </c>
      <c r="L282" s="729">
        <f t="shared" si="188"/>
        <v>72</v>
      </c>
      <c r="M282" s="300">
        <f t="shared" ref="M282" si="193">(F282/5)+(G282/5)+(H282/4)+(I282/3)+(J282/2)+K282</f>
        <v>24</v>
      </c>
      <c r="N282" s="653" t="str">
        <f t="shared" si="191"/>
        <v>NO</v>
      </c>
      <c r="O282" s="731" t="str">
        <f t="shared" ref="O282" si="194">IF(N282="yes","G","")</f>
        <v/>
      </c>
      <c r="Q282" s="1124" t="str">
        <f t="shared" ref="Q282" si="195">IF(M282=0,"",IF(M282=24,"","Shot count Error"))</f>
        <v/>
      </c>
      <c r="R282" s="1125"/>
    </row>
    <row r="283" spans="1:20" ht="17.100000000000001" customHeight="1" x14ac:dyDescent="0.3">
      <c r="B283" s="328"/>
      <c r="C283" s="328" t="s">
        <v>380</v>
      </c>
      <c r="D283" s="254">
        <v>2786</v>
      </c>
      <c r="E283" s="653" t="s">
        <v>16</v>
      </c>
      <c r="F283" s="248">
        <v>0</v>
      </c>
      <c r="G283" s="249">
        <v>20</v>
      </c>
      <c r="H283" s="249">
        <v>16</v>
      </c>
      <c r="I283" s="249">
        <v>21</v>
      </c>
      <c r="J283" s="249">
        <v>12</v>
      </c>
      <c r="K283" s="877">
        <v>3</v>
      </c>
      <c r="L283" s="729">
        <f t="shared" si="188"/>
        <v>69</v>
      </c>
      <c r="M283" s="300">
        <f t="shared" ref="M283" si="196">(F283/5)+(G283/5)+(H283/4)+(I283/3)+(J283/2)+K283</f>
        <v>24</v>
      </c>
      <c r="N283" s="653" t="str">
        <f>IF(L283&gt;102,"Yes","NO")</f>
        <v>NO</v>
      </c>
      <c r="O283" s="731" t="str">
        <f t="shared" ref="O283" si="197">IF(N283="yes","G","")</f>
        <v/>
      </c>
      <c r="Q283" s="1124" t="str">
        <f t="shared" ref="Q283" si="198">IF(M283=0,"",IF(M283=24,"","Shot count Error"))</f>
        <v/>
      </c>
      <c r="R283" s="1125"/>
    </row>
    <row r="284" spans="1:20" ht="17.100000000000001" customHeight="1" thickBot="1" x14ac:dyDescent="0.35">
      <c r="A284" s="689" t="s">
        <v>211</v>
      </c>
      <c r="B284" s="333" t="s">
        <v>257</v>
      </c>
      <c r="C284" s="333" t="s">
        <v>219</v>
      </c>
      <c r="D284" s="241">
        <v>1982</v>
      </c>
      <c r="E284" s="475" t="s">
        <v>16</v>
      </c>
      <c r="F284" s="235">
        <v>0</v>
      </c>
      <c r="G284" s="236">
        <v>15</v>
      </c>
      <c r="H284" s="236">
        <v>12</v>
      </c>
      <c r="I284" s="236">
        <v>21</v>
      </c>
      <c r="J284" s="236">
        <v>20</v>
      </c>
      <c r="K284" s="878">
        <v>1</v>
      </c>
      <c r="L284" s="730">
        <f t="shared" si="188"/>
        <v>68</v>
      </c>
      <c r="M284" s="220">
        <f t="shared" si="189"/>
        <v>24</v>
      </c>
      <c r="N284" s="475" t="str">
        <f>IF(L284&gt;102,"Yes","NO")</f>
        <v>NO</v>
      </c>
      <c r="O284" s="732" t="str">
        <f t="shared" si="190"/>
        <v/>
      </c>
      <c r="Q284" s="1124" t="str">
        <f t="shared" ref="Q284" si="199">IF(M284=0,"",IF(M284=24,"","Shot count Error"))</f>
        <v/>
      </c>
      <c r="R284" s="1125"/>
    </row>
    <row r="285" spans="1:20" ht="17.100000000000001" customHeight="1" x14ac:dyDescent="0.3">
      <c r="A285" s="689" t="s">
        <v>211</v>
      </c>
      <c r="B285" s="327" t="s">
        <v>300</v>
      </c>
      <c r="C285" s="327" t="s">
        <v>110</v>
      </c>
      <c r="D285" s="287">
        <v>1465</v>
      </c>
      <c r="E285" s="693" t="s">
        <v>17</v>
      </c>
      <c r="F285" s="1003">
        <v>10</v>
      </c>
      <c r="G285" s="243">
        <v>15</v>
      </c>
      <c r="H285" s="243">
        <v>32</v>
      </c>
      <c r="I285" s="243">
        <v>30</v>
      </c>
      <c r="J285" s="243">
        <v>2</v>
      </c>
      <c r="K285" s="1025"/>
      <c r="L285" s="728">
        <f t="shared" ref="L285:L291" si="200">SUM($F285:$J285)</f>
        <v>89</v>
      </c>
      <c r="M285" s="272">
        <f t="shared" si="189"/>
        <v>24</v>
      </c>
      <c r="N285" s="1027" t="str">
        <f>IF(L285&gt;84,"Yes","NO")</f>
        <v>Yes</v>
      </c>
      <c r="O285" s="1026" t="str">
        <f>IF(N285="yes","S","")</f>
        <v>S</v>
      </c>
      <c r="Q285" s="1182" t="str">
        <f t="shared" ref="Q285" si="201">IF(M285=0,"",IF(M285=24,"","Shot count Error"))</f>
        <v/>
      </c>
      <c r="R285" s="1183"/>
    </row>
    <row r="286" spans="1:20" ht="17.100000000000001" customHeight="1" x14ac:dyDescent="0.3">
      <c r="B286" s="327"/>
      <c r="C286" s="328" t="s">
        <v>366</v>
      </c>
      <c r="D286" s="254">
        <v>1624</v>
      </c>
      <c r="E286" s="653"/>
      <c r="F286" s="248">
        <v>0</v>
      </c>
      <c r="G286" s="249">
        <v>15</v>
      </c>
      <c r="H286" s="249">
        <v>20</v>
      </c>
      <c r="I286" s="249">
        <v>21</v>
      </c>
      <c r="J286" s="249">
        <v>6</v>
      </c>
      <c r="K286" s="877">
        <v>6</v>
      </c>
      <c r="L286" s="729">
        <f>SUM($F286:$J286)</f>
        <v>62</v>
      </c>
      <c r="M286" s="272">
        <f t="shared" ref="M286" si="202">(F286/5)+(G286/5)+(H286/4)+(I286/3)+(J286/2)+K286</f>
        <v>24</v>
      </c>
      <c r="N286" s="1027" t="str">
        <f>IF(L286&gt;84,"Yes","NO")</f>
        <v>NO</v>
      </c>
      <c r="O286" s="1026" t="str">
        <f>IF(N286="yes","S","")</f>
        <v/>
      </c>
      <c r="Q286" s="1056"/>
      <c r="R286" s="1057"/>
    </row>
    <row r="287" spans="1:20" ht="17.100000000000001" customHeight="1" x14ac:dyDescent="0.3">
      <c r="A287" s="689" t="s">
        <v>211</v>
      </c>
      <c r="B287" s="783"/>
      <c r="C287" s="328" t="s">
        <v>112</v>
      </c>
      <c r="D287" s="254">
        <v>2101</v>
      </c>
      <c r="E287" s="653" t="s">
        <v>17</v>
      </c>
      <c r="F287" s="248">
        <v>0</v>
      </c>
      <c r="G287" s="249">
        <v>5</v>
      </c>
      <c r="H287" s="249">
        <v>8</v>
      </c>
      <c r="I287" s="249">
        <v>36</v>
      </c>
      <c r="J287" s="249">
        <v>14</v>
      </c>
      <c r="K287" s="877">
        <v>2</v>
      </c>
      <c r="L287" s="729">
        <f t="shared" si="200"/>
        <v>63</v>
      </c>
      <c r="M287" s="300">
        <f t="shared" si="189"/>
        <v>24</v>
      </c>
      <c r="N287" s="1027" t="str">
        <f t="shared" ref="N287:N291" si="203">IF(L287&gt;84,"Yes","NO")</f>
        <v>NO</v>
      </c>
      <c r="O287" s="1026" t="str">
        <f t="shared" ref="O287:O291" si="204">IF(N287="yes","S","")</f>
        <v/>
      </c>
      <c r="Q287" s="1124" t="str">
        <f t="shared" si="177"/>
        <v/>
      </c>
      <c r="R287" s="1125"/>
    </row>
    <row r="288" spans="1:20" ht="17.100000000000001" customHeight="1" x14ac:dyDescent="0.3">
      <c r="A288" s="689" t="s">
        <v>211</v>
      </c>
      <c r="B288" s="328" t="s">
        <v>331</v>
      </c>
      <c r="C288" s="328" t="s">
        <v>161</v>
      </c>
      <c r="D288" s="254">
        <v>1629</v>
      </c>
      <c r="E288" s="653" t="s">
        <v>17</v>
      </c>
      <c r="F288" s="248">
        <v>0</v>
      </c>
      <c r="G288" s="249">
        <v>15</v>
      </c>
      <c r="H288" s="249">
        <v>12</v>
      </c>
      <c r="I288" s="249">
        <v>15</v>
      </c>
      <c r="J288" s="249">
        <v>20</v>
      </c>
      <c r="K288" s="877">
        <v>3</v>
      </c>
      <c r="L288" s="729">
        <f t="shared" si="200"/>
        <v>62</v>
      </c>
      <c r="M288" s="300">
        <f t="shared" si="189"/>
        <v>24</v>
      </c>
      <c r="N288" s="1027" t="str">
        <f t="shared" si="203"/>
        <v>NO</v>
      </c>
      <c r="O288" s="1026" t="str">
        <f t="shared" si="204"/>
        <v/>
      </c>
      <c r="Q288" s="1124" t="str">
        <f t="shared" si="177"/>
        <v/>
      </c>
      <c r="R288" s="1125"/>
    </row>
    <row r="289" spans="1:18" ht="17.100000000000001" customHeight="1" x14ac:dyDescent="0.3">
      <c r="A289" s="689" t="s">
        <v>211</v>
      </c>
      <c r="B289" s="328"/>
      <c r="C289" s="328" t="s">
        <v>216</v>
      </c>
      <c r="D289" s="254">
        <v>2233</v>
      </c>
      <c r="E289" s="653" t="s">
        <v>17</v>
      </c>
      <c r="F289" s="248">
        <v>0</v>
      </c>
      <c r="G289" s="249">
        <v>10</v>
      </c>
      <c r="H289" s="249">
        <v>16</v>
      </c>
      <c r="I289" s="249">
        <v>12</v>
      </c>
      <c r="J289" s="249">
        <v>18</v>
      </c>
      <c r="K289" s="877">
        <v>5</v>
      </c>
      <c r="L289" s="729">
        <f t="shared" si="200"/>
        <v>56</v>
      </c>
      <c r="M289" s="300">
        <f t="shared" si="189"/>
        <v>24</v>
      </c>
      <c r="N289" s="1027" t="str">
        <f t="shared" si="203"/>
        <v>NO</v>
      </c>
      <c r="O289" s="1026" t="str">
        <f t="shared" si="204"/>
        <v/>
      </c>
      <c r="Q289" s="1124" t="str">
        <f t="shared" ref="Q289:Q290" si="205">IF(M289=0,"",IF(M289=24,"","Shot count Error"))</f>
        <v/>
      </c>
      <c r="R289" s="1125"/>
    </row>
    <row r="290" spans="1:18" ht="17.100000000000001" customHeight="1" x14ac:dyDescent="0.3">
      <c r="B290" s="783">
        <v>2</v>
      </c>
      <c r="C290" s="328" t="s">
        <v>302</v>
      </c>
      <c r="D290" s="254">
        <v>306</v>
      </c>
      <c r="E290" s="653" t="s">
        <v>17</v>
      </c>
      <c r="F290" s="248">
        <v>0</v>
      </c>
      <c r="G290" s="249">
        <v>5</v>
      </c>
      <c r="H290" s="249">
        <v>16</v>
      </c>
      <c r="I290" s="249">
        <v>15</v>
      </c>
      <c r="J290" s="249">
        <v>16</v>
      </c>
      <c r="K290" s="877">
        <v>6</v>
      </c>
      <c r="L290" s="729">
        <f t="shared" si="200"/>
        <v>52</v>
      </c>
      <c r="M290" s="300">
        <f t="shared" si="189"/>
        <v>24</v>
      </c>
      <c r="N290" s="1027" t="str">
        <f t="shared" si="203"/>
        <v>NO</v>
      </c>
      <c r="O290" s="1026" t="str">
        <f t="shared" si="204"/>
        <v/>
      </c>
      <c r="Q290" s="1124" t="str">
        <f t="shared" si="205"/>
        <v/>
      </c>
      <c r="R290" s="1125"/>
    </row>
    <row r="291" spans="1:18" ht="17.100000000000001" customHeight="1" thickBot="1" x14ac:dyDescent="0.35">
      <c r="A291" s="689" t="s">
        <v>211</v>
      </c>
      <c r="B291" s="328" t="s">
        <v>294</v>
      </c>
      <c r="C291" s="328" t="s">
        <v>195</v>
      </c>
      <c r="D291" s="69">
        <v>2454</v>
      </c>
      <c r="E291" s="653" t="s">
        <v>17</v>
      </c>
      <c r="F291" s="248">
        <v>0</v>
      </c>
      <c r="G291" s="249">
        <v>5</v>
      </c>
      <c r="H291" s="249">
        <v>16</v>
      </c>
      <c r="I291" s="249">
        <v>21</v>
      </c>
      <c r="J291" s="249">
        <v>20</v>
      </c>
      <c r="K291" s="877">
        <v>2</v>
      </c>
      <c r="L291" s="729">
        <f t="shared" si="200"/>
        <v>62</v>
      </c>
      <c r="M291" s="300">
        <f t="shared" si="189"/>
        <v>24</v>
      </c>
      <c r="N291" s="1027" t="str">
        <f t="shared" si="203"/>
        <v>NO</v>
      </c>
      <c r="O291" s="1026" t="str">
        <f t="shared" si="204"/>
        <v/>
      </c>
      <c r="Q291" s="1124" t="str">
        <f t="shared" ref="Q291" si="206">IF(M291=0,"",IF(M291=24,"","Shot count Error"))</f>
        <v/>
      </c>
      <c r="R291" s="1125"/>
    </row>
    <row r="292" spans="1:18" ht="24" customHeight="1" thickBot="1" x14ac:dyDescent="0.35">
      <c r="B292" s="967">
        <f>COUNTA(B277:B291)</f>
        <v>10</v>
      </c>
      <c r="C292" s="785" t="s">
        <v>71</v>
      </c>
      <c r="D292" s="1112" t="s">
        <v>72</v>
      </c>
      <c r="E292" s="1113"/>
      <c r="F292" s="1113"/>
      <c r="G292" s="1113"/>
      <c r="H292" s="1113"/>
      <c r="I292" s="1113"/>
      <c r="J292" s="1113"/>
      <c r="K292" s="1113"/>
      <c r="L292" s="1113"/>
      <c r="M292" s="1113"/>
      <c r="N292" s="1113"/>
      <c r="O292" s="1114"/>
    </row>
    <row r="293" spans="1:18" ht="15" customHeight="1" x14ac:dyDescent="0.3">
      <c r="L293" s="196"/>
      <c r="M293" s="293"/>
    </row>
    <row r="294" spans="1:18" ht="15" customHeight="1" thickBot="1" x14ac:dyDescent="0.35"/>
    <row r="295" spans="1:18" ht="21" customHeight="1" thickBot="1" x14ac:dyDescent="0.35">
      <c r="C295" s="1117" t="s">
        <v>33</v>
      </c>
      <c r="D295" s="1118"/>
      <c r="E295" s="1118"/>
      <c r="F295" s="1118"/>
      <c r="G295" s="1118"/>
      <c r="H295" s="1118"/>
      <c r="I295" s="1119"/>
      <c r="J295" s="1115" t="s">
        <v>182</v>
      </c>
      <c r="K295" s="1116"/>
      <c r="L295" s="598">
        <v>24</v>
      </c>
      <c r="M295" s="1120" t="s">
        <v>189</v>
      </c>
      <c r="N295" s="1121"/>
      <c r="O295" s="587">
        <v>120</v>
      </c>
      <c r="Q295" s="1130" t="s">
        <v>185</v>
      </c>
      <c r="R295" s="1131"/>
    </row>
    <row r="296" spans="1:18" ht="26.1" customHeight="1" thickBot="1" x14ac:dyDescent="0.35">
      <c r="B296" s="535" t="s">
        <v>154</v>
      </c>
      <c r="C296" s="258" t="s">
        <v>0</v>
      </c>
      <c r="D296" s="466" t="s">
        <v>1</v>
      </c>
      <c r="E296" s="200" t="s">
        <v>2</v>
      </c>
      <c r="F296" s="282" t="s">
        <v>48</v>
      </c>
      <c r="G296" s="283">
        <v>5</v>
      </c>
      <c r="H296" s="283">
        <v>4</v>
      </c>
      <c r="I296" s="283">
        <v>3</v>
      </c>
      <c r="J296" s="283">
        <v>2</v>
      </c>
      <c r="K296" s="285">
        <v>0</v>
      </c>
      <c r="L296" s="205" t="s">
        <v>9</v>
      </c>
      <c r="M296" s="286" t="s">
        <v>50</v>
      </c>
      <c r="N296" s="392" t="s">
        <v>59</v>
      </c>
      <c r="O296" s="319" t="s">
        <v>60</v>
      </c>
      <c r="Q296" s="1132"/>
      <c r="R296" s="1133"/>
    </row>
    <row r="297" spans="1:18" ht="17.100000000000001" hidden="1" customHeight="1" thickBot="1" x14ac:dyDescent="0.35">
      <c r="A297" s="689" t="s">
        <v>212</v>
      </c>
      <c r="B297" s="200"/>
      <c r="C297" s="397" t="s">
        <v>147</v>
      </c>
      <c r="D297" s="538">
        <v>2149</v>
      </c>
      <c r="E297" s="330" t="s">
        <v>18</v>
      </c>
      <c r="F297" s="471"/>
      <c r="G297" s="291"/>
      <c r="H297" s="472"/>
      <c r="I297" s="472"/>
      <c r="J297" s="472"/>
      <c r="K297" s="303"/>
      <c r="L297" s="226">
        <f t="shared" ref="L297:L308" si="207">SUM($F297:$J297)</f>
        <v>0</v>
      </c>
      <c r="M297" s="224">
        <f t="shared" ref="M297" si="208">(F297/5)+(G297/5)+(H297/4)+(I297/3)+(J297/2)+K297</f>
        <v>0</v>
      </c>
      <c r="N297" s="1155"/>
      <c r="O297" s="1156"/>
      <c r="Q297" s="1110" t="str">
        <f t="shared" ref="Q297:Q308" si="209">IF(M297=0,"",IF(M297=24,"","Shot count Error"))</f>
        <v/>
      </c>
      <c r="R297" s="1111"/>
    </row>
    <row r="298" spans="1:18" ht="17.100000000000001" hidden="1" customHeight="1" thickBot="1" x14ac:dyDescent="0.35">
      <c r="A298" s="689" t="s">
        <v>212</v>
      </c>
      <c r="B298" s="200"/>
      <c r="C298" s="398"/>
      <c r="D298" s="241"/>
      <c r="E298" s="324" t="s">
        <v>18</v>
      </c>
      <c r="F298" s="274"/>
      <c r="G298" s="240"/>
      <c r="H298" s="237"/>
      <c r="I298" s="237"/>
      <c r="J298" s="237"/>
      <c r="K298" s="296"/>
      <c r="L298" s="219">
        <f t="shared" si="207"/>
        <v>0</v>
      </c>
      <c r="M298" s="239">
        <f t="shared" ref="M298:M308" si="210">(F298/5)+(G298/5)+(H298/4)+(I298/3)+(J298/2)+K298</f>
        <v>0</v>
      </c>
      <c r="N298" s="1157"/>
      <c r="O298" s="1158"/>
      <c r="Q298" s="1110" t="str">
        <f t="shared" si="209"/>
        <v/>
      </c>
      <c r="R298" s="1111"/>
    </row>
    <row r="299" spans="1:18" ht="17.100000000000001" hidden="1" customHeight="1" thickBot="1" x14ac:dyDescent="0.35">
      <c r="A299" s="689" t="s">
        <v>212</v>
      </c>
      <c r="B299" s="200"/>
      <c r="C299" s="397" t="s">
        <v>143</v>
      </c>
      <c r="D299" s="227">
        <v>1786</v>
      </c>
      <c r="E299" s="332" t="s">
        <v>14</v>
      </c>
      <c r="F299" s="252"/>
      <c r="H299" s="270"/>
      <c r="I299" s="270"/>
      <c r="J299" s="270"/>
      <c r="K299" s="294"/>
      <c r="L299" s="212">
        <f t="shared" si="207"/>
        <v>0</v>
      </c>
      <c r="M299" s="213">
        <f t="shared" ref="M299" si="211">(F299/5)+(G299/5)+(H299/4)+(I299/3)+(J299/2)+K299</f>
        <v>0</v>
      </c>
      <c r="N299" s="309" t="str">
        <f>IF(L299&gt;114,"Yes","NO")</f>
        <v>NO</v>
      </c>
      <c r="O299" s="612" t="str">
        <f>IF(N299="yes","HM","")</f>
        <v/>
      </c>
      <c r="Q299" s="1110" t="str">
        <f t="shared" si="209"/>
        <v/>
      </c>
      <c r="R299" s="1111"/>
    </row>
    <row r="300" spans="1:18" ht="17.100000000000001" hidden="1" customHeight="1" thickBot="1" x14ac:dyDescent="0.35">
      <c r="A300" s="689" t="s">
        <v>212</v>
      </c>
      <c r="B300" s="200"/>
      <c r="C300" s="398"/>
      <c r="D300" s="241"/>
      <c r="E300" s="329" t="s">
        <v>14</v>
      </c>
      <c r="F300" s="216"/>
      <c r="G300" s="233"/>
      <c r="H300" s="214"/>
      <c r="I300" s="214"/>
      <c r="J300" s="214"/>
      <c r="K300" s="473"/>
      <c r="L300" s="219">
        <f t="shared" si="207"/>
        <v>0</v>
      </c>
      <c r="M300" s="239">
        <f t="shared" si="210"/>
        <v>0</v>
      </c>
      <c r="N300" s="474" t="str">
        <f>IF(L300&gt;114,"Yes","NO")</f>
        <v>NO</v>
      </c>
      <c r="O300" s="611" t="str">
        <f>IF(N300="yes","HM","")</f>
        <v/>
      </c>
      <c r="Q300" s="1110" t="str">
        <f t="shared" si="209"/>
        <v/>
      </c>
      <c r="R300" s="1111"/>
    </row>
    <row r="301" spans="1:18" ht="17.100000000000001" hidden="1" customHeight="1" thickBot="1" x14ac:dyDescent="0.35">
      <c r="A301" s="689" t="s">
        <v>212</v>
      </c>
      <c r="B301" s="200"/>
      <c r="D301" s="228"/>
      <c r="E301" s="330" t="s">
        <v>15</v>
      </c>
      <c r="F301" s="222"/>
      <c r="G301" s="295"/>
      <c r="H301" s="221"/>
      <c r="I301" s="221"/>
      <c r="J301" s="221"/>
      <c r="K301" s="299"/>
      <c r="L301" s="226">
        <f t="shared" si="207"/>
        <v>0</v>
      </c>
      <c r="M301" s="224">
        <f t="shared" ref="M301" si="212">(F301/5)+(G301/5)+(H301/4)+(I301/3)+(J301/2)+K301</f>
        <v>0</v>
      </c>
      <c r="N301" s="309" t="str">
        <f>IF(L301&gt;109,"Yes","NO")</f>
        <v>NO</v>
      </c>
      <c r="O301" s="612" t="str">
        <f>IF(N301="yes","M","")</f>
        <v/>
      </c>
      <c r="Q301" s="1110" t="str">
        <f t="shared" si="209"/>
        <v/>
      </c>
      <c r="R301" s="1111"/>
    </row>
    <row r="302" spans="1:18" ht="17.100000000000001" hidden="1" customHeight="1" thickBot="1" x14ac:dyDescent="0.35">
      <c r="A302" s="689" t="s">
        <v>212</v>
      </c>
      <c r="B302" s="200"/>
      <c r="C302" s="398"/>
      <c r="D302" s="241"/>
      <c r="E302" s="324" t="s">
        <v>15</v>
      </c>
      <c r="F302" s="235"/>
      <c r="G302" s="240"/>
      <c r="H302" s="237"/>
      <c r="I302" s="237"/>
      <c r="J302" s="237"/>
      <c r="K302" s="296"/>
      <c r="L302" s="219">
        <f t="shared" si="207"/>
        <v>0</v>
      </c>
      <c r="M302" s="239">
        <f t="shared" si="210"/>
        <v>0</v>
      </c>
      <c r="N302" s="475" t="str">
        <f>IF(L302&gt;109,"Yes","NO")</f>
        <v>NO</v>
      </c>
      <c r="O302" s="616" t="str">
        <f>IF(N302="yes","M","")</f>
        <v/>
      </c>
      <c r="Q302" s="1110" t="str">
        <f t="shared" si="209"/>
        <v/>
      </c>
      <c r="R302" s="1111"/>
    </row>
    <row r="303" spans="1:18" ht="17.100000000000001" hidden="1" customHeight="1" thickBot="1" x14ac:dyDescent="0.35">
      <c r="A303" s="689" t="s">
        <v>212</v>
      </c>
      <c r="B303" s="200"/>
      <c r="C303" s="397"/>
      <c r="D303" s="227"/>
      <c r="E303" s="329" t="s">
        <v>16</v>
      </c>
      <c r="F303" s="216"/>
      <c r="G303" s="233"/>
      <c r="H303" s="214"/>
      <c r="I303" s="214"/>
      <c r="J303" s="214"/>
      <c r="K303" s="473"/>
      <c r="L303" s="226">
        <f t="shared" si="207"/>
        <v>0</v>
      </c>
      <c r="M303" s="224">
        <f t="shared" ref="M303" si="213">(F303/5)+(G303/5)+(H303/4)+(I303/3)+(J303/2)+K303</f>
        <v>0</v>
      </c>
      <c r="N303" s="474" t="str">
        <f>IF(L303&gt;102,"Yes","NO")</f>
        <v>NO</v>
      </c>
      <c r="O303" s="611" t="str">
        <f>IF(N303="yes","G","")</f>
        <v/>
      </c>
      <c r="Q303" s="1110" t="str">
        <f t="shared" si="209"/>
        <v/>
      </c>
      <c r="R303" s="1111"/>
    </row>
    <row r="304" spans="1:18" ht="17.100000000000001" hidden="1" customHeight="1" thickBot="1" x14ac:dyDescent="0.35">
      <c r="A304" s="689" t="s">
        <v>212</v>
      </c>
      <c r="B304" s="330"/>
      <c r="C304" s="396"/>
      <c r="D304" s="232"/>
      <c r="E304" s="329" t="s">
        <v>16</v>
      </c>
      <c r="F304" s="216"/>
      <c r="G304" s="233"/>
      <c r="H304" s="214"/>
      <c r="I304" s="214"/>
      <c r="J304" s="214"/>
      <c r="K304" s="473"/>
      <c r="L304" s="215">
        <f t="shared" si="207"/>
        <v>0</v>
      </c>
      <c r="M304" s="231">
        <f t="shared" si="210"/>
        <v>0</v>
      </c>
      <c r="N304" s="474" t="str">
        <f>IF(L304&gt;102,"Yes","NO")</f>
        <v>NO</v>
      </c>
      <c r="O304" s="611" t="str">
        <f>IF(N304="yes","G","")</f>
        <v/>
      </c>
      <c r="Q304" s="1110" t="str">
        <f t="shared" si="209"/>
        <v/>
      </c>
      <c r="R304" s="1111"/>
    </row>
    <row r="305" spans="1:20" ht="17.100000000000001" customHeight="1" thickBot="1" x14ac:dyDescent="0.35">
      <c r="B305" s="691"/>
      <c r="C305" s="206" t="s">
        <v>147</v>
      </c>
      <c r="D305" s="197">
        <v>2149</v>
      </c>
      <c r="E305" s="332" t="s">
        <v>18</v>
      </c>
      <c r="F305" s="252">
        <v>0</v>
      </c>
      <c r="G305" s="197">
        <v>60</v>
      </c>
      <c r="H305" s="270">
        <v>44</v>
      </c>
      <c r="I305" s="270">
        <v>3</v>
      </c>
      <c r="J305" s="270"/>
      <c r="K305" s="199"/>
      <c r="L305" s="208">
        <f t="shared" si="207"/>
        <v>107</v>
      </c>
      <c r="M305" s="881">
        <f t="shared" ref="M305" si="214">(F305/5)+(G305/5)+(H305/4)+(I305/3)+(J305/2)+K305</f>
        <v>24</v>
      </c>
      <c r="N305" s="323"/>
      <c r="O305" s="867"/>
      <c r="Q305" s="1110" t="str">
        <f t="shared" ref="Q305" si="215">IF(M305=0,"",IF(M305=24,"","Shot count Error"))</f>
        <v/>
      </c>
      <c r="R305" s="1111"/>
    </row>
    <row r="306" spans="1:20" ht="17.100000000000001" customHeight="1" thickBot="1" x14ac:dyDescent="0.35">
      <c r="A306" s="689" t="s">
        <v>212</v>
      </c>
      <c r="B306" s="326" t="s">
        <v>257</v>
      </c>
      <c r="C306" s="323" t="s">
        <v>219</v>
      </c>
      <c r="D306" s="879">
        <v>1982</v>
      </c>
      <c r="E306" s="323" t="s">
        <v>17</v>
      </c>
      <c r="F306" s="209">
        <v>0</v>
      </c>
      <c r="G306" s="210">
        <v>25</v>
      </c>
      <c r="H306" s="210">
        <v>28</v>
      </c>
      <c r="I306" s="210">
        <v>21</v>
      </c>
      <c r="J306" s="210">
        <v>10</v>
      </c>
      <c r="K306" s="864"/>
      <c r="L306" s="208">
        <f>SUM($F306:$J306)</f>
        <v>84</v>
      </c>
      <c r="M306" s="881">
        <f t="shared" si="210"/>
        <v>24</v>
      </c>
      <c r="N306" s="323" t="str">
        <f>IF(L306&gt;84,"Yes","NO")</f>
        <v>NO</v>
      </c>
      <c r="O306" s="867" t="str">
        <f>IF(N306="yes","S","")</f>
        <v/>
      </c>
      <c r="Q306" s="1110" t="str">
        <f t="shared" si="209"/>
        <v/>
      </c>
      <c r="R306" s="1111"/>
    </row>
    <row r="307" spans="1:20" ht="17.100000000000001" customHeight="1" x14ac:dyDescent="0.3">
      <c r="A307" s="689" t="s">
        <v>212</v>
      </c>
      <c r="B307" s="328" t="s">
        <v>262</v>
      </c>
      <c r="C307" s="331" t="s">
        <v>146</v>
      </c>
      <c r="D307" s="880">
        <v>1615</v>
      </c>
      <c r="E307" s="331" t="s">
        <v>17</v>
      </c>
      <c r="F307" s="248">
        <v>0</v>
      </c>
      <c r="G307" s="249">
        <v>5</v>
      </c>
      <c r="H307" s="249">
        <v>24</v>
      </c>
      <c r="I307" s="249">
        <v>24</v>
      </c>
      <c r="J307" s="249">
        <v>14</v>
      </c>
      <c r="K307" s="1021">
        <v>2</v>
      </c>
      <c r="L307" s="230">
        <f>SUM($F307:$J307)</f>
        <v>67</v>
      </c>
      <c r="M307" s="882">
        <f t="shared" ref="M307" si="216">(F307/5)+(G307/5)+(H307/4)+(I307/3)+(J307/2)+K307</f>
        <v>24</v>
      </c>
      <c r="N307" s="545" t="str">
        <f>IF(L307&gt;84,"Yes","NO")</f>
        <v>NO</v>
      </c>
      <c r="O307" s="868" t="str">
        <f>IF(N307="yes","S","")</f>
        <v/>
      </c>
      <c r="P307" s="534"/>
      <c r="Q307" s="1110" t="str">
        <f t="shared" ref="Q307" si="217">IF(M307=0,"",IF(M307=24,"","Shot count Error"))</f>
        <v/>
      </c>
      <c r="R307" s="1111"/>
    </row>
    <row r="308" spans="1:20" ht="17.100000000000001" customHeight="1" thickBot="1" x14ac:dyDescent="0.35">
      <c r="A308" s="689" t="s">
        <v>212</v>
      </c>
      <c r="B308" s="714"/>
      <c r="C308" s="324" t="s">
        <v>226</v>
      </c>
      <c r="D308" s="240">
        <v>1786</v>
      </c>
      <c r="E308" s="324" t="s">
        <v>17</v>
      </c>
      <c r="F308" s="235"/>
      <c r="G308" s="236"/>
      <c r="H308" s="236"/>
      <c r="I308" s="236"/>
      <c r="J308" s="236"/>
      <c r="K308" s="866"/>
      <c r="L308" s="219">
        <f t="shared" si="207"/>
        <v>0</v>
      </c>
      <c r="M308" s="883">
        <f t="shared" si="210"/>
        <v>0</v>
      </c>
      <c r="N308" s="278" t="str">
        <f>IF(L308&gt;84,"Yes","NO")</f>
        <v>NO</v>
      </c>
      <c r="O308" s="869" t="str">
        <f>IF(N308="yes","S","")</f>
        <v/>
      </c>
      <c r="Q308" s="1128" t="str">
        <f t="shared" si="209"/>
        <v/>
      </c>
      <c r="R308" s="1129"/>
    </row>
    <row r="309" spans="1:20" ht="24" customHeight="1" thickBot="1" x14ac:dyDescent="0.35">
      <c r="B309" s="967">
        <f>COUNTA(B306:B308)</f>
        <v>2</v>
      </c>
      <c r="C309" s="785" t="s">
        <v>71</v>
      </c>
      <c r="D309" s="1112" t="s">
        <v>72</v>
      </c>
      <c r="E309" s="1113"/>
      <c r="F309" s="1113"/>
      <c r="G309" s="1113"/>
      <c r="H309" s="1113"/>
      <c r="I309" s="1113"/>
      <c r="J309" s="1113"/>
      <c r="K309" s="1113"/>
      <c r="L309" s="1113"/>
      <c r="M309" s="1113"/>
      <c r="N309" s="1113"/>
      <c r="O309" s="1114"/>
    </row>
    <row r="310" spans="1:20" ht="15" customHeight="1" x14ac:dyDescent="0.3"/>
    <row r="311" spans="1:20" ht="14.1" customHeight="1" thickBot="1" x14ac:dyDescent="0.35">
      <c r="C311" s="289"/>
      <c r="D311" s="289"/>
      <c r="E311" s="289"/>
      <c r="F311" s="289"/>
      <c r="G311" s="289"/>
      <c r="H311" s="289"/>
      <c r="I311" s="289"/>
      <c r="J311" s="289"/>
      <c r="K311" s="289"/>
      <c r="L311" s="289"/>
      <c r="M311" s="289"/>
      <c r="N311" s="311"/>
      <c r="O311" s="289"/>
      <c r="T311" s="585"/>
    </row>
    <row r="312" spans="1:20" ht="29.1" customHeight="1" thickBot="1" x14ac:dyDescent="0.35">
      <c r="C312" s="1117" t="s">
        <v>85</v>
      </c>
      <c r="D312" s="1118"/>
      <c r="E312" s="1118"/>
      <c r="F312" s="1118"/>
      <c r="G312" s="1118"/>
      <c r="H312" s="1118"/>
      <c r="I312" s="1118"/>
      <c r="J312" s="1119"/>
      <c r="K312" s="1120" t="s">
        <v>187</v>
      </c>
      <c r="L312" s="1179"/>
      <c r="M312" s="1121"/>
      <c r="N312" s="587">
        <v>30</v>
      </c>
      <c r="O312" s="1120" t="s">
        <v>189</v>
      </c>
      <c r="P312" s="1121"/>
      <c r="Q312" s="587">
        <v>300</v>
      </c>
      <c r="T312" s="1126" t="s">
        <v>185</v>
      </c>
    </row>
    <row r="313" spans="1:20" ht="28.2" thickBot="1" x14ac:dyDescent="0.35">
      <c r="B313" s="535" t="s">
        <v>154</v>
      </c>
      <c r="C313" s="562" t="s">
        <v>0</v>
      </c>
      <c r="D313" s="466" t="s">
        <v>1</v>
      </c>
      <c r="E313" s="200" t="s">
        <v>2</v>
      </c>
      <c r="F313" s="305" t="s">
        <v>48</v>
      </c>
      <c r="G313" s="306">
        <v>10</v>
      </c>
      <c r="H313" s="306">
        <v>9</v>
      </c>
      <c r="I313" s="306">
        <v>8</v>
      </c>
      <c r="J313" s="306">
        <v>7</v>
      </c>
      <c r="K313" s="306">
        <v>6</v>
      </c>
      <c r="L313" s="307">
        <v>5</v>
      </c>
      <c r="M313" s="204">
        <v>0</v>
      </c>
      <c r="N313" s="205" t="s">
        <v>9</v>
      </c>
      <c r="O313" s="560" t="s">
        <v>49</v>
      </c>
      <c r="P313" s="196"/>
      <c r="Q313" s="391" t="s">
        <v>59</v>
      </c>
      <c r="R313" s="319" t="s">
        <v>60</v>
      </c>
      <c r="T313" s="1127"/>
    </row>
    <row r="314" spans="1:20" ht="17.100000000000001" hidden="1" customHeight="1" thickBot="1" x14ac:dyDescent="0.35">
      <c r="A314" s="689" t="s">
        <v>214</v>
      </c>
      <c r="B314" s="200"/>
      <c r="C314" s="206" t="s">
        <v>147</v>
      </c>
      <c r="D314" s="470">
        <v>2149</v>
      </c>
      <c r="E314" s="332" t="s">
        <v>18</v>
      </c>
      <c r="F314" s="725"/>
      <c r="G314" s="726"/>
      <c r="H314" s="726"/>
      <c r="I314" s="726"/>
      <c r="J314" s="726"/>
      <c r="K314" s="726"/>
      <c r="L314" s="727"/>
      <c r="M314" s="308"/>
      <c r="N314" s="215">
        <f t="shared" ref="N314:N317" si="218">SUM($F314:$L314)</f>
        <v>0</v>
      </c>
      <c r="O314" s="265">
        <f t="shared" ref="O314:O322" si="219">(F314/10)+(G314/10)+(H314/9)+(I314/8)+(J314/7)+(K314/6)+(L314/5)+M314</f>
        <v>0</v>
      </c>
      <c r="P314" s="196"/>
      <c r="Q314" s="1175"/>
      <c r="R314" s="1176"/>
      <c r="T314" s="584" t="str">
        <f t="shared" ref="T314:T332" si="220">IF(O314=0,"",IF(O314=30,"","Shot count Error"))</f>
        <v/>
      </c>
    </row>
    <row r="315" spans="1:20" ht="17.100000000000001" hidden="1" customHeight="1" thickBot="1" x14ac:dyDescent="0.35">
      <c r="A315" s="689" t="s">
        <v>214</v>
      </c>
      <c r="B315" s="200"/>
      <c r="C315" s="398"/>
      <c r="D315" s="241"/>
      <c r="E315" s="324" t="s">
        <v>18</v>
      </c>
      <c r="F315" s="235"/>
      <c r="G315" s="236"/>
      <c r="H315" s="236"/>
      <c r="I315" s="236"/>
      <c r="J315" s="236"/>
      <c r="K315" s="236"/>
      <c r="L315" s="237"/>
      <c r="M315" s="296"/>
      <c r="N315" s="219">
        <f t="shared" si="218"/>
        <v>0</v>
      </c>
      <c r="O315" s="220">
        <f t="shared" si="219"/>
        <v>0</v>
      </c>
      <c r="Q315" s="1177"/>
      <c r="R315" s="1178"/>
      <c r="T315" s="583" t="str">
        <f t="shared" si="220"/>
        <v/>
      </c>
    </row>
    <row r="316" spans="1:20" ht="17.100000000000001" hidden="1" customHeight="1" thickBot="1" x14ac:dyDescent="0.35">
      <c r="A316" s="689" t="s">
        <v>214</v>
      </c>
      <c r="B316" s="200"/>
      <c r="C316" s="330"/>
      <c r="D316" s="228"/>
      <c r="E316" s="332" t="s">
        <v>14</v>
      </c>
      <c r="F316" s="235"/>
      <c r="G316" s="236"/>
      <c r="H316" s="236"/>
      <c r="I316" s="236"/>
      <c r="J316" s="236"/>
      <c r="K316" s="236"/>
      <c r="L316" s="237"/>
      <c r="M316" s="296"/>
      <c r="N316" s="242">
        <f t="shared" si="218"/>
        <v>0</v>
      </c>
      <c r="O316" s="272">
        <f t="shared" si="219"/>
        <v>0</v>
      </c>
      <c r="Q316" s="280" t="str">
        <f>IF(N316&gt;297,"Yes","NO")</f>
        <v>NO</v>
      </c>
      <c r="R316" s="612" t="str">
        <f>IF(Q316="yes","HM","")</f>
        <v/>
      </c>
      <c r="T316" s="583" t="str">
        <f t="shared" si="220"/>
        <v/>
      </c>
    </row>
    <row r="317" spans="1:20" ht="17.100000000000001" hidden="1" customHeight="1" thickBot="1" x14ac:dyDescent="0.35">
      <c r="A317" s="689" t="s">
        <v>214</v>
      </c>
      <c r="B317" s="200"/>
      <c r="C317" s="773" t="s">
        <v>199</v>
      </c>
      <c r="D317" s="232">
        <v>506</v>
      </c>
      <c r="E317" s="329" t="s">
        <v>14</v>
      </c>
      <c r="F317" s="235"/>
      <c r="G317" s="236"/>
      <c r="H317" s="236"/>
      <c r="I317" s="236"/>
      <c r="J317" s="236"/>
      <c r="K317" s="236"/>
      <c r="L317" s="237"/>
      <c r="M317" s="296"/>
      <c r="N317" s="215">
        <f t="shared" si="218"/>
        <v>0</v>
      </c>
      <c r="O317" s="265">
        <f t="shared" si="219"/>
        <v>0</v>
      </c>
      <c r="P317" s="233"/>
      <c r="Q317" s="390" t="str">
        <f>IF(N317&gt;297,"Yes","NO")</f>
        <v>NO</v>
      </c>
      <c r="R317" s="611" t="str">
        <f>IF(Q317="yes","HM","")</f>
        <v/>
      </c>
      <c r="T317" s="583" t="str">
        <f t="shared" si="220"/>
        <v/>
      </c>
    </row>
    <row r="318" spans="1:20" ht="17.100000000000001" hidden="1" customHeight="1" thickBot="1" x14ac:dyDescent="0.35">
      <c r="A318" s="689" t="s">
        <v>214</v>
      </c>
      <c r="B318" s="200"/>
      <c r="C318" s="394" t="s">
        <v>171</v>
      </c>
      <c r="D318" s="227">
        <v>1901</v>
      </c>
      <c r="E318" s="330" t="s">
        <v>15</v>
      </c>
      <c r="F318" s="235"/>
      <c r="G318" s="236"/>
      <c r="H318" s="236"/>
      <c r="I318" s="236"/>
      <c r="J318" s="236"/>
      <c r="K318" s="236"/>
      <c r="L318" s="237"/>
      <c r="M318" s="296"/>
      <c r="N318" s="212">
        <f t="shared" ref="N318:N324" si="221">SUM($F318:$L318)</f>
        <v>0</v>
      </c>
      <c r="O318" s="334">
        <f t="shared" si="219"/>
        <v>0</v>
      </c>
      <c r="P318" s="295"/>
      <c r="Q318" s="280" t="str">
        <f t="shared" ref="Q318:Q322" si="222">IF(N318&gt;294,"Yes","NO")</f>
        <v>NO</v>
      </c>
      <c r="R318" s="612" t="str">
        <f t="shared" ref="R318:R322" si="223">IF(Q318="yes","M","")</f>
        <v/>
      </c>
      <c r="T318" s="583" t="str">
        <f t="shared" si="220"/>
        <v/>
      </c>
    </row>
    <row r="319" spans="1:20" ht="17.100000000000001" hidden="1" customHeight="1" thickBot="1" x14ac:dyDescent="0.35">
      <c r="A319" s="689" t="s">
        <v>214</v>
      </c>
      <c r="B319" s="200"/>
      <c r="C319" s="546" t="s">
        <v>76</v>
      </c>
      <c r="D319" s="254">
        <v>1549</v>
      </c>
      <c r="E319" s="331" t="s">
        <v>15</v>
      </c>
      <c r="F319" s="235"/>
      <c r="G319" s="236"/>
      <c r="H319" s="236"/>
      <c r="I319" s="236"/>
      <c r="J319" s="236"/>
      <c r="K319" s="236"/>
      <c r="L319" s="237"/>
      <c r="M319" s="296"/>
      <c r="N319" s="230">
        <f t="shared" si="221"/>
        <v>0</v>
      </c>
      <c r="O319" s="300">
        <f t="shared" si="219"/>
        <v>0</v>
      </c>
      <c r="P319" s="301"/>
      <c r="Q319" s="247" t="str">
        <f t="shared" si="222"/>
        <v>NO</v>
      </c>
      <c r="R319" s="613" t="str">
        <f t="shared" si="223"/>
        <v/>
      </c>
      <c r="T319" s="583" t="str">
        <f t="shared" si="220"/>
        <v/>
      </c>
    </row>
    <row r="320" spans="1:20" ht="17.100000000000001" hidden="1" customHeight="1" thickBot="1" x14ac:dyDescent="0.35">
      <c r="A320" s="689" t="s">
        <v>214</v>
      </c>
      <c r="B320" s="200"/>
      <c r="C320" s="546" t="s">
        <v>227</v>
      </c>
      <c r="D320" s="254">
        <v>2138</v>
      </c>
      <c r="E320" s="331" t="s">
        <v>15</v>
      </c>
      <c r="F320" s="235"/>
      <c r="G320" s="236"/>
      <c r="H320" s="236"/>
      <c r="I320" s="236"/>
      <c r="J320" s="236"/>
      <c r="K320" s="236"/>
      <c r="L320" s="237"/>
      <c r="M320" s="296"/>
      <c r="N320" s="230">
        <f t="shared" si="221"/>
        <v>0</v>
      </c>
      <c r="O320" s="300">
        <f t="shared" ref="O320" si="224">(F320/10)+(G320/10)+(H320/9)+(I320/8)+(J320/7)+(K320/6)+(L320/5)+M320</f>
        <v>0</v>
      </c>
      <c r="P320" s="301"/>
      <c r="Q320" s="247" t="str">
        <f t="shared" si="222"/>
        <v>NO</v>
      </c>
      <c r="R320" s="613" t="str">
        <f t="shared" si="223"/>
        <v/>
      </c>
      <c r="T320" s="583" t="str">
        <f t="shared" ref="T320" si="225">IF(O320=0,"",IF(O320=30,"","Shot count Error"))</f>
        <v/>
      </c>
    </row>
    <row r="321" spans="1:20" ht="17.100000000000001" hidden="1" customHeight="1" thickBot="1" x14ac:dyDescent="0.35">
      <c r="A321" s="689" t="s">
        <v>214</v>
      </c>
      <c r="B321" s="200"/>
      <c r="C321" s="395" t="s">
        <v>198</v>
      </c>
      <c r="D321" s="287">
        <v>3624</v>
      </c>
      <c r="E321" s="325" t="s">
        <v>15</v>
      </c>
      <c r="F321" s="235"/>
      <c r="G321" s="236"/>
      <c r="H321" s="236"/>
      <c r="I321" s="236"/>
      <c r="J321" s="236"/>
      <c r="K321" s="236"/>
      <c r="L321" s="237"/>
      <c r="M321" s="296"/>
      <c r="N321" s="242">
        <f t="shared" si="221"/>
        <v>0</v>
      </c>
      <c r="O321" s="272">
        <f t="shared" ref="O321" si="226">(F321/10)+(G321/10)+(H321/9)+(I321/8)+(J321/7)+(K321/6)+(L321/5)+M321</f>
        <v>0</v>
      </c>
      <c r="P321" s="534"/>
      <c r="Q321" s="246" t="str">
        <f t="shared" si="222"/>
        <v>NO</v>
      </c>
      <c r="R321" s="618" t="str">
        <f t="shared" si="223"/>
        <v/>
      </c>
      <c r="T321" s="583" t="str">
        <f t="shared" si="220"/>
        <v/>
      </c>
    </row>
    <row r="322" spans="1:20" ht="17.100000000000001" hidden="1" customHeight="1" thickBot="1" x14ac:dyDescent="0.35">
      <c r="A322" s="689" t="s">
        <v>214</v>
      </c>
      <c r="B322" s="200"/>
      <c r="C322" s="333" t="s">
        <v>159</v>
      </c>
      <c r="D322" s="241">
        <v>80</v>
      </c>
      <c r="E322" s="324" t="s">
        <v>15</v>
      </c>
      <c r="F322" s="235"/>
      <c r="G322" s="236"/>
      <c r="H322" s="236"/>
      <c r="I322" s="236"/>
      <c r="J322" s="236"/>
      <c r="K322" s="236"/>
      <c r="L322" s="237"/>
      <c r="M322" s="296"/>
      <c r="N322" s="549">
        <f t="shared" si="221"/>
        <v>0</v>
      </c>
      <c r="O322" s="550">
        <f t="shared" si="219"/>
        <v>0</v>
      </c>
      <c r="Q322" s="522" t="str">
        <f t="shared" si="222"/>
        <v>NO</v>
      </c>
      <c r="R322" s="614" t="str">
        <f t="shared" si="223"/>
        <v/>
      </c>
      <c r="T322" s="583" t="str">
        <f t="shared" si="220"/>
        <v/>
      </c>
    </row>
    <row r="323" spans="1:20" ht="17.100000000000001" hidden="1" customHeight="1" thickBot="1" x14ac:dyDescent="0.35">
      <c r="A323" s="689" t="s">
        <v>214</v>
      </c>
      <c r="B323" s="200"/>
      <c r="C323" s="396" t="s">
        <v>206</v>
      </c>
      <c r="D323" s="232">
        <v>1041</v>
      </c>
      <c r="E323" s="332" t="s">
        <v>16</v>
      </c>
      <c r="F323" s="235"/>
      <c r="G323" s="236"/>
      <c r="H323" s="236"/>
      <c r="I323" s="236"/>
      <c r="J323" s="236"/>
      <c r="K323" s="236"/>
      <c r="L323" s="237"/>
      <c r="M323" s="296"/>
      <c r="N323" s="215">
        <f t="shared" si="221"/>
        <v>0</v>
      </c>
      <c r="O323" s="265">
        <f>(F323/10)+(G323/10)+(H323/9)+(I323/8)+(J323/7)+(K323/6)+(L323/5)+M323</f>
        <v>0</v>
      </c>
      <c r="P323" s="233"/>
      <c r="Q323" s="401" t="str">
        <f>IF(N323&gt;284,"Yes","NO")</f>
        <v>NO</v>
      </c>
      <c r="R323" s="611" t="str">
        <f>IF(Q323="yes","G","")</f>
        <v/>
      </c>
      <c r="T323" s="583" t="str">
        <f>IF(O323=0,"",IF(O323=30,"","Shot count Error"))</f>
        <v/>
      </c>
    </row>
    <row r="324" spans="1:20" ht="17.100000000000001" hidden="1" customHeight="1" thickBot="1" x14ac:dyDescent="0.35">
      <c r="A324" s="689" t="s">
        <v>214</v>
      </c>
      <c r="B324" s="200"/>
      <c r="C324" s="398" t="s">
        <v>156</v>
      </c>
      <c r="D324" s="241">
        <v>357</v>
      </c>
      <c r="E324" s="324" t="s">
        <v>16</v>
      </c>
      <c r="F324" s="235"/>
      <c r="G324" s="236"/>
      <c r="H324" s="236"/>
      <c r="I324" s="236"/>
      <c r="J324" s="236"/>
      <c r="K324" s="236"/>
      <c r="L324" s="237"/>
      <c r="M324" s="296"/>
      <c r="N324" s="219">
        <f t="shared" si="221"/>
        <v>0</v>
      </c>
      <c r="O324" s="220">
        <f>(F324/10)+(G324/10)+(H324/9)+(I324/8)+(J324/7)+(K324/6)+(L324/5)+M324</f>
        <v>0</v>
      </c>
      <c r="P324" s="240"/>
      <c r="Q324" s="298" t="str">
        <f>IF(N324&gt;284,"Yes","NO")</f>
        <v>NO</v>
      </c>
      <c r="R324" s="616" t="str">
        <f>IF(Q324="yes","G","")</f>
        <v/>
      </c>
      <c r="T324" s="583" t="str">
        <f>IF(O324=0,"",IF(O324=30,"","Shot count Error"))</f>
        <v/>
      </c>
    </row>
    <row r="325" spans="1:20" ht="17.100000000000001" hidden="1" customHeight="1" thickBot="1" x14ac:dyDescent="0.35">
      <c r="A325" s="689" t="s">
        <v>214</v>
      </c>
      <c r="B325" s="330"/>
      <c r="C325" s="396" t="s">
        <v>196</v>
      </c>
      <c r="D325" s="232">
        <v>1291</v>
      </c>
      <c r="E325" s="329" t="s">
        <v>17</v>
      </c>
      <c r="F325" s="216"/>
      <c r="G325" s="217"/>
      <c r="H325" s="217"/>
      <c r="I325" s="217"/>
      <c r="J325" s="217"/>
      <c r="K325" s="217"/>
      <c r="L325" s="214"/>
      <c r="M325" s="473"/>
      <c r="N325" s="215">
        <f t="shared" ref="N325:N326" si="227">SUM($F325:$L325)</f>
        <v>0</v>
      </c>
      <c r="O325" s="265">
        <f t="shared" ref="O325:O328" si="228">(F325/10)+(G325/10)+(H325/9)+(I325/8)+(J325/7)+(K325/6)+(L325/5)+M325</f>
        <v>0</v>
      </c>
      <c r="P325" s="233"/>
      <c r="Q325" s="390" t="str">
        <f t="shared" ref="Q325" si="229">IF(N325&gt;270,"Yes","NO")</f>
        <v>NO</v>
      </c>
      <c r="R325" s="611" t="str">
        <f t="shared" ref="R325:R328" si="230">IF(Q325="yes","S","")</f>
        <v/>
      </c>
      <c r="T325" s="583" t="str">
        <f t="shared" ref="T325:T328" si="231">IF(O325=0,"",IF(O325=30,"","Shot count Error"))</f>
        <v/>
      </c>
    </row>
    <row r="326" spans="1:20" ht="17.100000000000001" customHeight="1" thickBot="1" x14ac:dyDescent="0.35">
      <c r="B326" s="330"/>
      <c r="C326" s="396" t="s">
        <v>147</v>
      </c>
      <c r="D326" s="227">
        <v>2149</v>
      </c>
      <c r="E326" s="329" t="s">
        <v>18</v>
      </c>
      <c r="F326" s="216">
        <v>110</v>
      </c>
      <c r="G326" s="217">
        <v>160</v>
      </c>
      <c r="H326" s="217">
        <v>27</v>
      </c>
      <c r="I326" s="217"/>
      <c r="J326" s="217"/>
      <c r="K326" s="217"/>
      <c r="L326" s="214"/>
      <c r="M326" s="1107"/>
      <c r="N326" s="215">
        <f t="shared" si="227"/>
        <v>297</v>
      </c>
      <c r="O326" s="265"/>
      <c r="P326" s="233"/>
      <c r="Q326" s="390"/>
      <c r="R326" s="965"/>
      <c r="T326" s="583"/>
    </row>
    <row r="327" spans="1:20" ht="17.100000000000001" customHeight="1" thickBot="1" x14ac:dyDescent="0.35">
      <c r="B327" s="330"/>
      <c r="C327" s="1108" t="s">
        <v>171</v>
      </c>
      <c r="D327" s="227">
        <v>1901</v>
      </c>
      <c r="E327" s="330" t="s">
        <v>15</v>
      </c>
      <c r="F327" s="222">
        <v>120</v>
      </c>
      <c r="G327" s="223">
        <v>80</v>
      </c>
      <c r="H327" s="223">
        <v>63</v>
      </c>
      <c r="I327" s="223">
        <v>24</v>
      </c>
      <c r="J327" s="223"/>
      <c r="K327" s="223"/>
      <c r="L327" s="221"/>
      <c r="M327" s="1109"/>
      <c r="N327" s="208">
        <f t="shared" ref="N327:N332" si="232">SUM($F327:$L327)</f>
        <v>287</v>
      </c>
      <c r="O327" s="260">
        <f t="shared" ref="O327" si="233">(F327/10)+(G327/10)+(H327/9)+(I327/8)+(J327/7)+(K327/6)+(L327/5)+M327</f>
        <v>30</v>
      </c>
      <c r="P327" s="469"/>
      <c r="Q327" s="870" t="str">
        <f>IF(N327&gt;295,"Yes","NO")</f>
        <v>NO</v>
      </c>
      <c r="R327" s="867" t="str">
        <f t="shared" ref="R327" si="234">IF(Q327="yes","S","")</f>
        <v/>
      </c>
      <c r="T327" s="583"/>
    </row>
    <row r="328" spans="1:20" ht="17.100000000000001" customHeight="1" thickBot="1" x14ac:dyDescent="0.35">
      <c r="B328" s="324"/>
      <c r="C328" s="398" t="s">
        <v>373</v>
      </c>
      <c r="D328" s="241">
        <v>1256</v>
      </c>
      <c r="E328" s="324" t="s">
        <v>15</v>
      </c>
      <c r="F328" s="235">
        <v>20</v>
      </c>
      <c r="G328" s="236">
        <v>100</v>
      </c>
      <c r="H328" s="236">
        <v>99</v>
      </c>
      <c r="I328" s="236">
        <v>24</v>
      </c>
      <c r="J328" s="236">
        <v>28</v>
      </c>
      <c r="K328" s="236"/>
      <c r="L328" s="236"/>
      <c r="M328" s="866"/>
      <c r="N328" s="219">
        <f t="shared" si="232"/>
        <v>271</v>
      </c>
      <c r="O328" s="220">
        <f t="shared" si="228"/>
        <v>30</v>
      </c>
      <c r="P328" s="240"/>
      <c r="Q328" s="298" t="str">
        <f>IF(N328&gt;295,"Yes","NO")</f>
        <v>NO</v>
      </c>
      <c r="R328" s="869" t="str">
        <f t="shared" si="230"/>
        <v/>
      </c>
      <c r="T328" s="583" t="str">
        <f t="shared" si="231"/>
        <v/>
      </c>
    </row>
    <row r="329" spans="1:20" ht="17.100000000000001" customHeight="1" thickBot="1" x14ac:dyDescent="0.35">
      <c r="A329" s="689" t="s">
        <v>214</v>
      </c>
      <c r="B329" s="326" t="s">
        <v>257</v>
      </c>
      <c r="C329" s="323" t="s">
        <v>219</v>
      </c>
      <c r="D329" s="469">
        <v>1982</v>
      </c>
      <c r="E329" s="323" t="s">
        <v>17</v>
      </c>
      <c r="F329" s="209">
        <v>30</v>
      </c>
      <c r="G329" s="210">
        <v>60</v>
      </c>
      <c r="H329" s="210">
        <v>108</v>
      </c>
      <c r="I329" s="210">
        <v>32</v>
      </c>
      <c r="J329" s="210">
        <v>7</v>
      </c>
      <c r="K329" s="210">
        <v>18</v>
      </c>
      <c r="L329" s="210"/>
      <c r="M329" s="864">
        <v>1</v>
      </c>
      <c r="N329" s="208">
        <f t="shared" si="232"/>
        <v>255</v>
      </c>
      <c r="O329" s="260">
        <f>(F329/10)+(G329/10)+(H329/9)+(I329/8)+(J329/7)+(K329/6)+(L329/5)+M329</f>
        <v>30</v>
      </c>
      <c r="P329" s="469"/>
      <c r="Q329" s="870" t="str">
        <f>IF(N329&gt;270,"Yes","NO")</f>
        <v>NO</v>
      </c>
      <c r="R329" s="867" t="str">
        <f>IF(Q329="yes","S","")</f>
        <v/>
      </c>
      <c r="T329" s="583" t="str">
        <f t="shared" si="220"/>
        <v/>
      </c>
    </row>
    <row r="330" spans="1:20" ht="17.399999999999999" customHeight="1" thickBot="1" x14ac:dyDescent="0.35">
      <c r="A330" s="689" t="s">
        <v>214</v>
      </c>
      <c r="B330" s="328" t="s">
        <v>284</v>
      </c>
      <c r="C330" s="331" t="s">
        <v>170</v>
      </c>
      <c r="D330" s="301">
        <v>1853</v>
      </c>
      <c r="E330" s="331" t="s">
        <v>17</v>
      </c>
      <c r="F330" s="248">
        <v>20</v>
      </c>
      <c r="G330" s="249">
        <v>50</v>
      </c>
      <c r="H330" s="249">
        <v>90</v>
      </c>
      <c r="I330" s="249">
        <v>88</v>
      </c>
      <c r="J330" s="249"/>
      <c r="K330" s="249">
        <v>6</v>
      </c>
      <c r="L330" s="249"/>
      <c r="M330" s="865">
        <v>1</v>
      </c>
      <c r="N330" s="230">
        <f t="shared" si="232"/>
        <v>254</v>
      </c>
      <c r="O330" s="300">
        <f>(F330/10)+(G330/10)+(H330/9)+(I330/8)+(J330/7)+(K330/6)+(L330/5)+M330</f>
        <v>30</v>
      </c>
      <c r="P330" s="301"/>
      <c r="Q330" s="302" t="str">
        <f>IF(N330&gt;270,"Yes","NO")</f>
        <v>NO</v>
      </c>
      <c r="R330" s="868" t="str">
        <f>IF(Q330="yes","S","")</f>
        <v/>
      </c>
      <c r="T330" s="583" t="str">
        <f t="shared" si="220"/>
        <v/>
      </c>
    </row>
    <row r="331" spans="1:20" ht="17.100000000000001" customHeight="1" thickBot="1" x14ac:dyDescent="0.35">
      <c r="A331" s="689" t="s">
        <v>214</v>
      </c>
      <c r="B331" s="328" t="s">
        <v>252</v>
      </c>
      <c r="C331" s="787" t="s">
        <v>220</v>
      </c>
      <c r="D331" s="301">
        <v>1982</v>
      </c>
      <c r="E331" s="331" t="s">
        <v>17</v>
      </c>
      <c r="F331" s="248">
        <v>10</v>
      </c>
      <c r="G331" s="249">
        <v>30</v>
      </c>
      <c r="H331" s="249">
        <v>72</v>
      </c>
      <c r="I331" s="249">
        <v>48</v>
      </c>
      <c r="J331" s="249">
        <v>49</v>
      </c>
      <c r="K331" s="249">
        <v>12</v>
      </c>
      <c r="L331" s="249"/>
      <c r="M331" s="865">
        <v>3</v>
      </c>
      <c r="N331" s="230">
        <f t="shared" si="232"/>
        <v>221</v>
      </c>
      <c r="O331" s="300">
        <f>(F331/10)+(G331/10)+(H331/9)+(I331/8)+(J331/7)+(K331/6)+(L331/5)+M331</f>
        <v>30</v>
      </c>
      <c r="P331" s="301"/>
      <c r="Q331" s="302" t="str">
        <f>IF(N331&gt;270,"Yes","NO")</f>
        <v>NO</v>
      </c>
      <c r="R331" s="868" t="str">
        <f>IF(Q331="yes","S","")</f>
        <v/>
      </c>
      <c r="T331" s="583" t="str">
        <f t="shared" ref="T331" si="235">IF(O331=0,"",IF(O331=30,"","Shot count Error"))</f>
        <v/>
      </c>
    </row>
    <row r="332" spans="1:20" ht="17.100000000000001" customHeight="1" thickBot="1" x14ac:dyDescent="0.35">
      <c r="A332" s="689" t="s">
        <v>214</v>
      </c>
      <c r="B332" s="333" t="s">
        <v>262</v>
      </c>
      <c r="C332" s="788" t="s">
        <v>146</v>
      </c>
      <c r="D332" s="240">
        <v>1615</v>
      </c>
      <c r="E332" s="324" t="s">
        <v>17</v>
      </c>
      <c r="F332" s="235">
        <v>20</v>
      </c>
      <c r="G332" s="236">
        <v>50</v>
      </c>
      <c r="H332" s="236">
        <v>81</v>
      </c>
      <c r="I332" s="236">
        <v>32</v>
      </c>
      <c r="J332" s="236">
        <v>7</v>
      </c>
      <c r="K332" s="236">
        <v>12</v>
      </c>
      <c r="L332" s="236">
        <v>15</v>
      </c>
      <c r="M332" s="866">
        <v>4</v>
      </c>
      <c r="N332" s="219">
        <f t="shared" si="232"/>
        <v>217</v>
      </c>
      <c r="O332" s="220">
        <f>(F332/10)+(G332/10)+(H332/9)+(I332/8)+(J332/7)+(K332/6)+(L332/5)+M332</f>
        <v>30</v>
      </c>
      <c r="P332" s="240"/>
      <c r="Q332" s="402" t="str">
        <f>IF(N332&gt;270,"Yes","NO")</f>
        <v>NO</v>
      </c>
      <c r="R332" s="869" t="str">
        <f>IF(Q332="yes","S","")</f>
        <v/>
      </c>
      <c r="T332" s="586" t="str">
        <f t="shared" si="220"/>
        <v/>
      </c>
    </row>
    <row r="333" spans="1:20" ht="24" customHeight="1" thickBot="1" x14ac:dyDescent="0.35">
      <c r="B333" s="967">
        <f>COUNTA(B329:B332)</f>
        <v>4</v>
      </c>
      <c r="C333" s="785" t="s">
        <v>71</v>
      </c>
      <c r="D333" s="1112" t="s">
        <v>73</v>
      </c>
      <c r="E333" s="1113"/>
      <c r="F333" s="1113"/>
      <c r="G333" s="1113"/>
      <c r="H333" s="1113"/>
      <c r="I333" s="1113"/>
      <c r="J333" s="1113"/>
      <c r="K333" s="1113"/>
      <c r="L333" s="1113"/>
      <c r="M333" s="1113"/>
      <c r="N333" s="1113"/>
      <c r="O333" s="1114"/>
      <c r="T333" s="581" t="s">
        <v>10</v>
      </c>
    </row>
    <row r="334" spans="1:20" ht="18.600000000000001" thickBot="1" x14ac:dyDescent="0.35"/>
    <row r="335" spans="1:20" ht="18.600000000000001" thickBot="1" x14ac:dyDescent="0.35">
      <c r="B335" s="980">
        <f>SUM(B333+B309+B292+B261+B224+B173+B131+B117+B57)</f>
        <v>118</v>
      </c>
      <c r="C335" s="981" t="s">
        <v>340</v>
      </c>
    </row>
    <row r="337" spans="13:15" x14ac:dyDescent="0.3">
      <c r="M337" s="196"/>
      <c r="N337" s="312"/>
      <c r="O337" s="197"/>
    </row>
  </sheetData>
  <sortState xmlns:xlrd2="http://schemas.microsoft.com/office/spreadsheetml/2017/richdata2" ref="B329:N332">
    <sortCondition descending="1" ref="N329:N332"/>
  </sortState>
  <mergeCells count="125">
    <mergeCell ref="Q251:R251"/>
    <mergeCell ref="N266:O266"/>
    <mergeCell ref="Q273:R273"/>
    <mergeCell ref="Q288:R288"/>
    <mergeCell ref="Q284:R284"/>
    <mergeCell ref="Q287:R287"/>
    <mergeCell ref="Q254:R254"/>
    <mergeCell ref="Q264:R265"/>
    <mergeCell ref="Q267:R267"/>
    <mergeCell ref="Q268:R268"/>
    <mergeCell ref="Q274:R274"/>
    <mergeCell ref="Q285:R285"/>
    <mergeCell ref="Q277:R277"/>
    <mergeCell ref="Q278:R278"/>
    <mergeCell ref="Q280:R280"/>
    <mergeCell ref="Q281:R281"/>
    <mergeCell ref="N175:O175"/>
    <mergeCell ref="D333:O333"/>
    <mergeCell ref="C4:R4"/>
    <mergeCell ref="Q8:R10"/>
    <mergeCell ref="Q136:R141"/>
    <mergeCell ref="Q62:R66"/>
    <mergeCell ref="D292:O292"/>
    <mergeCell ref="D309:O309"/>
    <mergeCell ref="D173:O173"/>
    <mergeCell ref="Q314:R315"/>
    <mergeCell ref="N297:O298"/>
    <mergeCell ref="Q240:R240"/>
    <mergeCell ref="Q242:R242"/>
    <mergeCell ref="Q247:R247"/>
    <mergeCell ref="Q255:R255"/>
    <mergeCell ref="Q275:R275"/>
    <mergeCell ref="Q269:R269"/>
    <mergeCell ref="Q271:R271"/>
    <mergeCell ref="Q272:R272"/>
    <mergeCell ref="O120:P120"/>
    <mergeCell ref="K312:M312"/>
    <mergeCell ref="J295:K295"/>
    <mergeCell ref="M295:N295"/>
    <mergeCell ref="P175:Q175"/>
    <mergeCell ref="Q290:R290"/>
    <mergeCell ref="C2:R2"/>
    <mergeCell ref="Q122:R123"/>
    <mergeCell ref="D261:O261"/>
    <mergeCell ref="D57:O57"/>
    <mergeCell ref="D117:O117"/>
    <mergeCell ref="D131:O131"/>
    <mergeCell ref="Q231:R231"/>
    <mergeCell ref="Q232:R232"/>
    <mergeCell ref="Q233:R233"/>
    <mergeCell ref="Q234:R234"/>
    <mergeCell ref="N229:O230"/>
    <mergeCell ref="Q227:R228"/>
    <mergeCell ref="Q229:R229"/>
    <mergeCell ref="Q230:R230"/>
    <mergeCell ref="Q249:R249"/>
    <mergeCell ref="C60:K60"/>
    <mergeCell ref="L60:M60"/>
    <mergeCell ref="O60:P60"/>
    <mergeCell ref="C120:K120"/>
    <mergeCell ref="L120:M120"/>
    <mergeCell ref="C6:K6"/>
    <mergeCell ref="C175:J175"/>
    <mergeCell ref="K175:L175"/>
    <mergeCell ref="T4:T7"/>
    <mergeCell ref="T60:T61"/>
    <mergeCell ref="T120:T121"/>
    <mergeCell ref="Q257:R257"/>
    <mergeCell ref="Q258:R258"/>
    <mergeCell ref="Q260:R260"/>
    <mergeCell ref="Q256:R256"/>
    <mergeCell ref="Q259:R259"/>
    <mergeCell ref="Q235:R235"/>
    <mergeCell ref="Q244:R244"/>
    <mergeCell ref="Q236:R236"/>
    <mergeCell ref="Q238:R238"/>
    <mergeCell ref="Q246:R246"/>
    <mergeCell ref="Q250:R250"/>
    <mergeCell ref="Q241:R241"/>
    <mergeCell ref="Q239:R239"/>
    <mergeCell ref="Q248:R248"/>
    <mergeCell ref="T134:T135"/>
    <mergeCell ref="T175:T176"/>
    <mergeCell ref="Q177:R179"/>
    <mergeCell ref="Q253:R253"/>
    <mergeCell ref="Q243:R243"/>
    <mergeCell ref="Q245:R245"/>
    <mergeCell ref="Q252:R252"/>
    <mergeCell ref="T312:T313"/>
    <mergeCell ref="Q304:R304"/>
    <mergeCell ref="Q306:R306"/>
    <mergeCell ref="Q308:R308"/>
    <mergeCell ref="Q295:R296"/>
    <mergeCell ref="Q299:R299"/>
    <mergeCell ref="Q300:R300"/>
    <mergeCell ref="Q301:R301"/>
    <mergeCell ref="Q302:R302"/>
    <mergeCell ref="Q303:R303"/>
    <mergeCell ref="Q297:R297"/>
    <mergeCell ref="Q298:R298"/>
    <mergeCell ref="Q307:R307"/>
    <mergeCell ref="Q305:R305"/>
    <mergeCell ref="D224:O224"/>
    <mergeCell ref="L6:M6"/>
    <mergeCell ref="C312:J312"/>
    <mergeCell ref="O312:P312"/>
    <mergeCell ref="C134:J134"/>
    <mergeCell ref="K134:L134"/>
    <mergeCell ref="N134:O134"/>
    <mergeCell ref="P134:Q134"/>
    <mergeCell ref="Q237:R237"/>
    <mergeCell ref="C295:I295"/>
    <mergeCell ref="C264:I264"/>
    <mergeCell ref="C227:I227"/>
    <mergeCell ref="Q291:R291"/>
    <mergeCell ref="Q270:R270"/>
    <mergeCell ref="M227:N227"/>
    <mergeCell ref="J227:K227"/>
    <mergeCell ref="J264:K264"/>
    <mergeCell ref="M264:N264"/>
    <mergeCell ref="Q279:R279"/>
    <mergeCell ref="Q289:R289"/>
    <mergeCell ref="Q283:R283"/>
    <mergeCell ref="Q282:R282"/>
    <mergeCell ref="O6:P6"/>
  </mergeCells>
  <phoneticPr fontId="23" type="noConversion"/>
  <pageMargins left="0.15748031496062992" right="0" top="0.19685039370078741" bottom="0.19685039370078741" header="0" footer="0"/>
  <pageSetup paperSize="9" scale="3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20"/>
  <sheetViews>
    <sheetView tabSelected="1" zoomScale="96" zoomScaleNormal="96" workbookViewId="0">
      <selection activeCell="P6" sqref="P6"/>
    </sheetView>
  </sheetViews>
  <sheetFormatPr defaultColWidth="8.88671875" defaultRowHeight="15.6" x14ac:dyDescent="0.3"/>
  <cols>
    <col min="1" max="1" width="4.6640625" style="13" customWidth="1"/>
    <col min="2" max="2" width="4.6640625" style="689" customWidth="1"/>
    <col min="3" max="3" width="31.6640625" style="657" customWidth="1"/>
    <col min="4" max="4" width="8.88671875" style="20"/>
    <col min="5" max="5" width="8" style="339" customWidth="1"/>
    <col min="6" max="6" width="14.5546875" style="116" customWidth="1"/>
    <col min="7" max="7" width="8.6640625" style="339" customWidth="1"/>
    <col min="8" max="9" width="6.88671875" style="20" customWidth="1"/>
    <col min="10" max="10" width="7" style="20" customWidth="1"/>
    <col min="11" max="11" width="8.33203125" style="20" customWidth="1"/>
    <col min="12" max="12" width="8.109375" style="20" customWidth="1"/>
    <col min="13" max="13" width="9.109375" style="20" customWidth="1"/>
    <col min="14" max="14" width="10.44140625" style="20" customWidth="1"/>
    <col min="15" max="15" width="10" style="446" customWidth="1"/>
    <col min="16" max="16" width="10.6640625" style="20" customWidth="1"/>
    <col min="17" max="18" width="10" style="20" customWidth="1"/>
    <col min="19" max="19" width="14" style="20" customWidth="1"/>
    <col min="20" max="20" width="2.44140625" style="20" customWidth="1"/>
    <col min="21" max="24" width="8.88671875" style="20"/>
    <col min="25" max="25" width="10.6640625" style="20" customWidth="1"/>
    <col min="26" max="26" width="10.109375" style="20" customWidth="1"/>
    <col min="27" max="16384" width="8.88671875" style="20"/>
  </cols>
  <sheetData>
    <row r="1" spans="1:30" ht="16.2" thickBot="1" x14ac:dyDescent="0.35">
      <c r="C1" s="656"/>
      <c r="D1" s="21"/>
      <c r="E1" s="21"/>
      <c r="F1" s="115"/>
      <c r="G1" s="21"/>
      <c r="H1" s="21"/>
      <c r="I1" s="21"/>
      <c r="J1" s="21"/>
      <c r="K1" s="21"/>
    </row>
    <row r="2" spans="1:30" s="22" customFormat="1" ht="28.5" customHeight="1" thickBot="1" x14ac:dyDescent="0.35">
      <c r="A2" s="50"/>
      <c r="B2" s="1276" t="s">
        <v>107</v>
      </c>
      <c r="C2" s="1277"/>
      <c r="D2" s="1277"/>
      <c r="E2" s="1277"/>
      <c r="F2" s="1277"/>
      <c r="G2" s="1277"/>
      <c r="H2" s="1277"/>
      <c r="I2" s="1277"/>
      <c r="J2" s="1277"/>
      <c r="K2" s="1277"/>
      <c r="L2" s="1277"/>
      <c r="M2" s="1277"/>
      <c r="N2" s="1278"/>
      <c r="O2" s="446"/>
    </row>
    <row r="3" spans="1:30" s="22" customFormat="1" ht="12" customHeight="1" thickBot="1" x14ac:dyDescent="0.35">
      <c r="A3" s="50"/>
      <c r="B3" s="198"/>
      <c r="C3" s="656"/>
      <c r="D3" s="23"/>
      <c r="E3" s="21"/>
      <c r="F3" s="115"/>
      <c r="G3" s="486"/>
      <c r="H3" s="23"/>
      <c r="I3" s="23"/>
      <c r="J3" s="23"/>
      <c r="K3" s="23"/>
      <c r="O3" s="446"/>
    </row>
    <row r="4" spans="1:30" s="22" customFormat="1" ht="32.1" customHeight="1" thickBot="1" x14ac:dyDescent="0.35">
      <c r="A4" s="50"/>
      <c r="B4" s="1164" t="s">
        <v>228</v>
      </c>
      <c r="C4" s="1274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5"/>
      <c r="O4" s="446"/>
    </row>
    <row r="5" spans="1:30" ht="18.899999999999999" customHeight="1" thickBot="1" x14ac:dyDescent="0.35"/>
    <row r="6" spans="1:30" ht="26.1" customHeight="1" thickBot="1" x14ac:dyDescent="0.35">
      <c r="C6" s="1294" t="s">
        <v>114</v>
      </c>
      <c r="D6" s="1295"/>
      <c r="E6" s="1295"/>
      <c r="F6" s="1295"/>
      <c r="G6" s="1295"/>
      <c r="H6" s="1295"/>
      <c r="I6" s="1296"/>
      <c r="J6" s="433" t="s">
        <v>51</v>
      </c>
      <c r="K6" s="1187" t="s">
        <v>188</v>
      </c>
      <c r="L6" s="1287"/>
      <c r="M6" s="588">
        <v>600</v>
      </c>
      <c r="N6" s="46"/>
      <c r="O6" s="447"/>
      <c r="P6" s="46"/>
      <c r="T6" s="100"/>
      <c r="U6" s="100"/>
      <c r="V6" s="100"/>
      <c r="W6" s="100"/>
      <c r="X6" s="100"/>
      <c r="Y6" s="100"/>
      <c r="Z6" s="100"/>
      <c r="AA6" s="101"/>
    </row>
    <row r="7" spans="1:30" ht="30.9" hidden="1" customHeight="1" thickBot="1" x14ac:dyDescent="0.35">
      <c r="B7" s="779" t="s">
        <v>154</v>
      </c>
      <c r="C7" s="658" t="s">
        <v>0</v>
      </c>
      <c r="D7" s="444" t="s">
        <v>1</v>
      </c>
      <c r="E7" s="405" t="s">
        <v>2</v>
      </c>
      <c r="F7" s="194" t="s">
        <v>108</v>
      </c>
      <c r="G7" s="194" t="s">
        <v>148</v>
      </c>
      <c r="H7" s="41" t="s">
        <v>3</v>
      </c>
      <c r="I7" s="16" t="s">
        <v>4</v>
      </c>
      <c r="J7" s="17" t="s">
        <v>5</v>
      </c>
      <c r="K7" s="17" t="s">
        <v>6</v>
      </c>
      <c r="L7" s="83" t="s">
        <v>9</v>
      </c>
      <c r="M7" s="126" t="s">
        <v>79</v>
      </c>
      <c r="N7" s="76" t="s">
        <v>61</v>
      </c>
      <c r="O7" s="72"/>
      <c r="P7" s="447"/>
      <c r="Q7" s="72"/>
      <c r="U7" s="72"/>
      <c r="V7" s="72"/>
      <c r="W7" s="72"/>
      <c r="X7" s="72"/>
      <c r="Y7" s="72"/>
      <c r="Z7" s="13"/>
      <c r="AA7" s="13"/>
      <c r="AB7" s="50"/>
      <c r="AC7" s="102"/>
      <c r="AD7" s="103"/>
    </row>
    <row r="8" spans="1:30" ht="15.9" hidden="1" customHeight="1" x14ac:dyDescent="0.3">
      <c r="A8" s="13" t="s">
        <v>285</v>
      </c>
      <c r="B8" s="768"/>
      <c r="C8" s="659"/>
      <c r="D8" s="110"/>
      <c r="E8" s="406" t="s">
        <v>14</v>
      </c>
      <c r="F8" s="314"/>
      <c r="G8" s="480"/>
      <c r="H8" s="39"/>
      <c r="I8" s="5"/>
      <c r="J8" s="32"/>
      <c r="K8" s="32"/>
      <c r="L8" s="195">
        <f t="shared" ref="L8:L15" si="0">SUM($H8:$K8)</f>
        <v>0</v>
      </c>
      <c r="M8" s="1281"/>
      <c r="N8" s="1282"/>
      <c r="O8" s="72"/>
      <c r="P8" s="446"/>
      <c r="X8" s="10"/>
      <c r="Y8" s="13"/>
    </row>
    <row r="9" spans="1:30" ht="15.9" hidden="1" customHeight="1" thickBot="1" x14ac:dyDescent="0.35">
      <c r="A9" s="13" t="s">
        <v>285</v>
      </c>
      <c r="B9" s="770"/>
      <c r="C9" s="660"/>
      <c r="D9" s="29"/>
      <c r="E9" s="407" t="s">
        <v>14</v>
      </c>
      <c r="F9" s="119"/>
      <c r="G9" s="655"/>
      <c r="H9" s="37"/>
      <c r="I9" s="6"/>
      <c r="J9" s="26"/>
      <c r="K9" s="26"/>
      <c r="L9" s="435">
        <f t="shared" si="0"/>
        <v>0</v>
      </c>
      <c r="M9" s="1283"/>
      <c r="N9" s="1284"/>
      <c r="O9" s="20"/>
      <c r="P9" s="446"/>
      <c r="X9" s="10"/>
      <c r="Y9" s="13"/>
      <c r="Z9" s="10"/>
      <c r="AA9" s="10"/>
      <c r="AB9" s="49"/>
      <c r="AC9" s="13"/>
      <c r="AD9" s="10"/>
    </row>
    <row r="10" spans="1:30" ht="15.9" hidden="1" customHeight="1" x14ac:dyDescent="0.3">
      <c r="A10" s="13" t="s">
        <v>285</v>
      </c>
      <c r="B10" s="769"/>
      <c r="D10" s="28"/>
      <c r="E10" s="409" t="s">
        <v>15</v>
      </c>
      <c r="F10" s="123"/>
      <c r="G10" s="482"/>
      <c r="H10" s="38"/>
      <c r="I10" s="3"/>
      <c r="J10" s="31"/>
      <c r="K10" s="31"/>
      <c r="L10" s="436">
        <f t="shared" si="0"/>
        <v>0</v>
      </c>
      <c r="M10" s="49" t="str">
        <f>IF(L10&gt;529,"Yes","NO")</f>
        <v>NO</v>
      </c>
      <c r="N10" s="628" t="str">
        <f>IF(M10="Yes","M","")</f>
        <v/>
      </c>
      <c r="O10" s="20"/>
      <c r="P10" s="446"/>
      <c r="X10" s="10"/>
      <c r="Y10" s="13"/>
      <c r="Z10" s="10"/>
      <c r="AA10" s="10"/>
      <c r="AB10" s="49"/>
      <c r="AC10" s="13"/>
      <c r="AD10" s="10"/>
    </row>
    <row r="11" spans="1:30" ht="15.9" hidden="1" customHeight="1" thickBot="1" x14ac:dyDescent="0.35">
      <c r="A11" s="13" t="s">
        <v>285</v>
      </c>
      <c r="B11" s="773"/>
      <c r="C11" s="660"/>
      <c r="D11" s="29"/>
      <c r="E11" s="407" t="s">
        <v>15</v>
      </c>
      <c r="F11" s="119"/>
      <c r="G11" s="481"/>
      <c r="H11" s="37"/>
      <c r="I11" s="6"/>
      <c r="J11" s="26"/>
      <c r="K11" s="26"/>
      <c r="L11" s="435">
        <f t="shared" si="0"/>
        <v>0</v>
      </c>
      <c r="M11" s="404" t="str">
        <f>IF(L11&gt;529,"Yes","NO")</f>
        <v>NO</v>
      </c>
      <c r="N11" s="629" t="str">
        <f>IF(M11="Yes","M","")</f>
        <v/>
      </c>
      <c r="O11" s="20"/>
      <c r="P11" s="446"/>
      <c r="X11" s="10"/>
      <c r="Y11" s="13"/>
      <c r="Z11" s="10"/>
      <c r="AA11" s="10"/>
      <c r="AB11" s="49"/>
      <c r="AC11" s="13"/>
      <c r="AD11" s="10"/>
    </row>
    <row r="12" spans="1:30" ht="15.9" hidden="1" customHeight="1" x14ac:dyDescent="0.3">
      <c r="A12" s="13" t="s">
        <v>285</v>
      </c>
      <c r="B12" s="769"/>
      <c r="D12" s="28"/>
      <c r="E12" s="409" t="s">
        <v>16</v>
      </c>
      <c r="F12" s="123"/>
      <c r="G12" s="482"/>
      <c r="H12" s="38"/>
      <c r="I12" s="3"/>
      <c r="J12" s="31"/>
      <c r="K12" s="31"/>
      <c r="L12" s="436">
        <f t="shared" si="0"/>
        <v>0</v>
      </c>
      <c r="M12" s="49" t="str">
        <f>IF(L12&gt;499,"Yes","NO")</f>
        <v>NO</v>
      </c>
      <c r="N12" s="628" t="str">
        <f>IF(M12="Yes","G","")</f>
        <v/>
      </c>
      <c r="O12" s="20"/>
      <c r="P12" s="446"/>
      <c r="X12" s="10"/>
      <c r="Y12" s="13"/>
      <c r="Z12" s="10"/>
      <c r="AA12" s="10"/>
      <c r="AB12" s="49"/>
      <c r="AC12" s="13"/>
      <c r="AD12" s="10"/>
    </row>
    <row r="13" spans="1:30" ht="15.9" hidden="1" customHeight="1" thickBot="1" x14ac:dyDescent="0.35">
      <c r="A13" s="13" t="s">
        <v>285</v>
      </c>
      <c r="B13" s="773"/>
      <c r="C13" s="660"/>
      <c r="D13" s="29"/>
      <c r="E13" s="407" t="s">
        <v>16</v>
      </c>
      <c r="F13" s="119"/>
      <c r="G13" s="481"/>
      <c r="H13" s="37"/>
      <c r="I13" s="6"/>
      <c r="J13" s="26"/>
      <c r="K13" s="26"/>
      <c r="L13" s="435">
        <f t="shared" si="0"/>
        <v>0</v>
      </c>
      <c r="M13" s="404" t="str">
        <f>IF(L13&gt;499,"Yes","NO")</f>
        <v>NO</v>
      </c>
      <c r="N13" s="629" t="str">
        <f>IF(M13="Yes","G","")</f>
        <v/>
      </c>
      <c r="O13" s="20"/>
      <c r="P13" s="446"/>
      <c r="X13" s="10"/>
      <c r="Y13" s="13"/>
      <c r="Z13" s="10"/>
      <c r="AA13" s="10"/>
      <c r="AB13" s="49"/>
      <c r="AC13" s="13"/>
      <c r="AD13" s="10"/>
    </row>
    <row r="14" spans="1:30" ht="15.9" hidden="1" customHeight="1" x14ac:dyDescent="0.3">
      <c r="A14" s="13" t="s">
        <v>285</v>
      </c>
      <c r="B14" s="768"/>
      <c r="C14" s="661"/>
      <c r="D14" s="43"/>
      <c r="E14" s="410" t="s">
        <v>17</v>
      </c>
      <c r="F14" s="315"/>
      <c r="G14" s="480"/>
      <c r="H14" s="35"/>
      <c r="I14" s="2"/>
      <c r="J14" s="188"/>
      <c r="K14" s="24"/>
      <c r="L14" s="437">
        <f t="shared" si="0"/>
        <v>0</v>
      </c>
      <c r="M14" s="317" t="str">
        <f>IF(L14&gt;469,"Yes","NO")</f>
        <v>NO</v>
      </c>
      <c r="N14" s="630" t="str">
        <f>IF(M14="Yes","S","")</f>
        <v/>
      </c>
      <c r="O14" s="20"/>
      <c r="P14" s="446"/>
    </row>
    <row r="15" spans="1:30" ht="15.9" hidden="1" customHeight="1" thickBot="1" x14ac:dyDescent="0.35">
      <c r="A15" s="13" t="s">
        <v>285</v>
      </c>
      <c r="B15" s="773"/>
      <c r="C15" s="662"/>
      <c r="D15" s="134"/>
      <c r="E15" s="408" t="s">
        <v>17</v>
      </c>
      <c r="F15" s="316"/>
      <c r="G15" s="483"/>
      <c r="H15" s="42"/>
      <c r="I15" s="15"/>
      <c r="J15" s="33"/>
      <c r="K15" s="33"/>
      <c r="L15" s="435">
        <f t="shared" si="0"/>
        <v>0</v>
      </c>
      <c r="M15" s="404" t="str">
        <f>IF(L15&gt;469,"Yes","NO")</f>
        <v>NO</v>
      </c>
      <c r="N15" s="627"/>
      <c r="O15" s="20"/>
      <c r="P15" s="446"/>
    </row>
    <row r="16" spans="1:30" ht="27.9" hidden="1" customHeight="1" thickBot="1" x14ac:dyDescent="0.35">
      <c r="C16" s="663" t="s">
        <v>62</v>
      </c>
      <c r="D16" s="1241" t="s">
        <v>70</v>
      </c>
      <c r="E16" s="1242"/>
      <c r="F16" s="1242"/>
      <c r="G16" s="1242"/>
      <c r="H16" s="1242"/>
      <c r="I16" s="1242"/>
      <c r="J16" s="1242"/>
      <c r="K16" s="1242"/>
      <c r="L16" s="1242"/>
      <c r="M16" s="1243"/>
      <c r="N16" s="46"/>
      <c r="W16" s="10"/>
      <c r="X16" s="13"/>
      <c r="Y16" s="10"/>
      <c r="Z16" s="10"/>
      <c r="AA16" s="49"/>
      <c r="AB16" s="13"/>
      <c r="AC16" s="10"/>
    </row>
    <row r="17" spans="1:29" ht="17.100000000000001" hidden="1" customHeight="1" x14ac:dyDescent="0.3">
      <c r="J17" s="10"/>
      <c r="K17" s="10"/>
      <c r="L17" s="10"/>
      <c r="W17" s="10"/>
      <c r="X17" s="13"/>
      <c r="Y17" s="10"/>
      <c r="Z17" s="10"/>
      <c r="AA17" s="49"/>
      <c r="AB17" s="13"/>
      <c r="AC17" s="10"/>
    </row>
    <row r="18" spans="1:29" ht="17.100000000000001" customHeight="1" thickBot="1" x14ac:dyDescent="0.35">
      <c r="J18" s="10"/>
      <c r="K18" s="10"/>
      <c r="L18" s="10"/>
      <c r="W18" s="10"/>
      <c r="X18" s="13"/>
      <c r="Y18" s="10"/>
      <c r="Z18" s="10"/>
      <c r="AA18" s="49"/>
      <c r="AB18" s="13"/>
      <c r="AC18" s="10"/>
    </row>
    <row r="19" spans="1:29" ht="26.1" customHeight="1" thickBot="1" x14ac:dyDescent="0.35">
      <c r="C19" s="1189" t="s">
        <v>118</v>
      </c>
      <c r="D19" s="1239"/>
      <c r="E19" s="1239"/>
      <c r="F19" s="1239"/>
      <c r="G19" s="1239"/>
      <c r="H19" s="1239"/>
      <c r="I19" s="1239"/>
      <c r="J19" s="434" t="s">
        <v>55</v>
      </c>
      <c r="K19" s="1187" t="s">
        <v>188</v>
      </c>
      <c r="L19" s="1188"/>
      <c r="M19" s="588">
        <v>300</v>
      </c>
      <c r="W19" s="10"/>
      <c r="X19" s="13"/>
      <c r="Y19" s="10"/>
      <c r="Z19" s="10"/>
      <c r="AA19" s="49"/>
      <c r="AB19" s="13"/>
      <c r="AC19" s="10"/>
    </row>
    <row r="20" spans="1:29" ht="28.5" customHeight="1" thickBot="1" x14ac:dyDescent="0.35">
      <c r="B20" s="780" t="s">
        <v>154</v>
      </c>
      <c r="C20" s="719" t="s">
        <v>0</v>
      </c>
      <c r="D20" s="445" t="s">
        <v>1</v>
      </c>
      <c r="E20" s="884" t="s">
        <v>2</v>
      </c>
      <c r="F20" s="885" t="s">
        <v>108</v>
      </c>
      <c r="G20" s="885" t="s">
        <v>148</v>
      </c>
      <c r="H20" s="186" t="s">
        <v>94</v>
      </c>
      <c r="I20" s="815" t="s">
        <v>93</v>
      </c>
      <c r="J20" s="738" t="s">
        <v>78</v>
      </c>
      <c r="K20" s="108" t="s">
        <v>9</v>
      </c>
      <c r="L20" s="886" t="s">
        <v>79</v>
      </c>
      <c r="M20" s="887" t="s">
        <v>63</v>
      </c>
      <c r="N20" s="125"/>
      <c r="W20" s="10"/>
      <c r="X20" s="13"/>
      <c r="Y20" s="10"/>
      <c r="Z20" s="10"/>
      <c r="AA20" s="49"/>
      <c r="AB20" s="13"/>
      <c r="AC20" s="10"/>
    </row>
    <row r="21" spans="1:29" ht="15.9" customHeight="1" x14ac:dyDescent="0.3">
      <c r="A21" s="13">
        <v>50</v>
      </c>
      <c r="B21" s="766" t="s">
        <v>248</v>
      </c>
      <c r="C21" s="715" t="s">
        <v>370</v>
      </c>
      <c r="D21" s="182">
        <v>1194</v>
      </c>
      <c r="E21" s="347" t="s">
        <v>14</v>
      </c>
      <c r="F21" s="896"/>
      <c r="G21" s="891" t="s">
        <v>149</v>
      </c>
      <c r="H21" s="2">
        <v>138</v>
      </c>
      <c r="I21" s="2">
        <v>132</v>
      </c>
      <c r="J21" s="904"/>
      <c r="K21" s="152">
        <f t="shared" ref="K21:K23" si="1">SUM($H21:$J21)</f>
        <v>270</v>
      </c>
      <c r="L21" s="1288"/>
      <c r="M21" s="1289"/>
      <c r="N21" s="125"/>
      <c r="W21" s="10"/>
      <c r="X21" s="13"/>
      <c r="Y21" s="10"/>
      <c r="Z21" s="10"/>
      <c r="AA21" s="49"/>
      <c r="AB21" s="13"/>
      <c r="AC21" s="10"/>
    </row>
    <row r="22" spans="1:29" ht="15.9" customHeight="1" x14ac:dyDescent="0.3">
      <c r="A22" s="13">
        <v>50</v>
      </c>
      <c r="B22" s="972" t="s">
        <v>248</v>
      </c>
      <c r="C22" s="973" t="s">
        <v>115</v>
      </c>
      <c r="D22" s="128">
        <v>1383</v>
      </c>
      <c r="E22" s="346" t="s">
        <v>14</v>
      </c>
      <c r="F22" s="1064" t="s">
        <v>371</v>
      </c>
      <c r="G22" s="1046" t="s">
        <v>149</v>
      </c>
      <c r="H22" s="1">
        <v>129</v>
      </c>
      <c r="I22" s="1">
        <v>129</v>
      </c>
      <c r="J22" s="1047"/>
      <c r="K22" s="153">
        <f t="shared" si="1"/>
        <v>258</v>
      </c>
      <c r="L22" s="1290"/>
      <c r="M22" s="1291"/>
      <c r="W22" s="10"/>
      <c r="X22" s="13"/>
      <c r="Y22" s="10"/>
      <c r="Z22" s="10"/>
      <c r="AA22" s="49"/>
      <c r="AB22" s="13"/>
      <c r="AC22" s="10"/>
    </row>
    <row r="23" spans="1:29" ht="15.9" customHeight="1" thickBot="1" x14ac:dyDescent="0.35">
      <c r="A23" s="13">
        <v>50</v>
      </c>
      <c r="B23" s="764" t="s">
        <v>162</v>
      </c>
      <c r="C23" s="688" t="s">
        <v>136</v>
      </c>
      <c r="D23" s="176">
        <v>1668</v>
      </c>
      <c r="E23" s="348" t="s">
        <v>14</v>
      </c>
      <c r="F23" s="897"/>
      <c r="G23" s="893" t="s">
        <v>150</v>
      </c>
      <c r="H23" s="6">
        <v>125</v>
      </c>
      <c r="I23" s="6">
        <v>126</v>
      </c>
      <c r="J23" s="905"/>
      <c r="K23" s="154">
        <f t="shared" si="1"/>
        <v>251</v>
      </c>
      <c r="L23" s="1292"/>
      <c r="M23" s="1293"/>
      <c r="W23" s="10"/>
      <c r="X23" s="13"/>
      <c r="Y23" s="10"/>
      <c r="Z23" s="10"/>
      <c r="AA23" s="49"/>
      <c r="AB23" s="13"/>
      <c r="AC23" s="10"/>
    </row>
    <row r="24" spans="1:29" ht="15.9" customHeight="1" x14ac:dyDescent="0.3">
      <c r="A24" s="13">
        <v>50</v>
      </c>
      <c r="B24" s="766"/>
      <c r="C24" s="715" t="s">
        <v>372</v>
      </c>
      <c r="D24" s="182">
        <v>169</v>
      </c>
      <c r="E24" s="564" t="s">
        <v>15</v>
      </c>
      <c r="F24" s="1065" t="s">
        <v>371</v>
      </c>
      <c r="G24" s="899" t="s">
        <v>151</v>
      </c>
      <c r="H24" s="2">
        <v>120</v>
      </c>
      <c r="I24" s="2">
        <v>129</v>
      </c>
      <c r="J24" s="904"/>
      <c r="K24" s="152">
        <f>SUM($H24:$J24)</f>
        <v>249</v>
      </c>
      <c r="L24" s="80" t="str">
        <f>IF(K24&gt;279,"Yes","NO")</f>
        <v>NO</v>
      </c>
      <c r="M24" s="1049" t="str">
        <f>IF(L24="Yes","M","")</f>
        <v/>
      </c>
      <c r="W24" s="10"/>
      <c r="X24" s="13"/>
      <c r="Y24" s="10"/>
      <c r="Z24" s="10"/>
      <c r="AA24" s="49"/>
      <c r="AB24" s="13"/>
      <c r="AC24" s="10"/>
    </row>
    <row r="25" spans="1:29" ht="15.9" customHeight="1" x14ac:dyDescent="0.3">
      <c r="B25" s="765" t="s">
        <v>308</v>
      </c>
      <c r="C25" s="776" t="s">
        <v>178</v>
      </c>
      <c r="D25" s="135">
        <v>309</v>
      </c>
      <c r="E25" s="345" t="s">
        <v>15</v>
      </c>
      <c r="F25" s="1040" t="s">
        <v>358</v>
      </c>
      <c r="G25" s="898" t="s">
        <v>179</v>
      </c>
      <c r="H25" s="4">
        <v>121</v>
      </c>
      <c r="I25" s="4">
        <v>122</v>
      </c>
      <c r="J25" s="906"/>
      <c r="K25" s="155">
        <f>SUM($H25:$J25)</f>
        <v>243</v>
      </c>
      <c r="L25" s="1050" t="str">
        <f>IF(K25&gt;279,"Yes","NO")</f>
        <v>NO</v>
      </c>
      <c r="M25" s="892" t="str">
        <f>IF(L25="Yes","M","")</f>
        <v/>
      </c>
      <c r="W25" s="10"/>
      <c r="X25" s="13"/>
      <c r="Y25" s="10"/>
      <c r="Z25" s="10"/>
      <c r="AA25" s="49"/>
      <c r="AB25" s="13"/>
      <c r="AC25" s="10"/>
    </row>
    <row r="26" spans="1:29" ht="15.9" customHeight="1" x14ac:dyDescent="0.3">
      <c r="A26" s="13">
        <v>50</v>
      </c>
      <c r="B26" s="763" t="s">
        <v>319</v>
      </c>
      <c r="C26" s="696" t="s">
        <v>320</v>
      </c>
      <c r="D26" s="129">
        <v>283</v>
      </c>
      <c r="E26" s="354" t="s">
        <v>15</v>
      </c>
      <c r="F26" s="1074" t="s">
        <v>376</v>
      </c>
      <c r="G26" s="889" t="s">
        <v>150</v>
      </c>
      <c r="H26" s="82">
        <v>128</v>
      </c>
      <c r="I26" s="82">
        <v>114</v>
      </c>
      <c r="J26" s="589"/>
      <c r="K26" s="168">
        <f>SUM($H26:$J26)</f>
        <v>242</v>
      </c>
      <c r="L26" s="813" t="str">
        <f>IF(K26&gt;279,"Yes","NO")</f>
        <v>NO</v>
      </c>
      <c r="M26" s="892" t="str">
        <f>IF(L26="Yes","M","")</f>
        <v/>
      </c>
      <c r="W26" s="10"/>
      <c r="X26" s="13"/>
      <c r="Y26" s="10"/>
      <c r="Z26" s="10"/>
      <c r="AA26" s="49"/>
      <c r="AB26" s="13"/>
      <c r="AC26" s="10"/>
    </row>
    <row r="27" spans="1:29" ht="15.9" customHeight="1" thickBot="1" x14ac:dyDescent="0.35">
      <c r="A27" s="13">
        <v>50</v>
      </c>
      <c r="B27" s="764" t="s">
        <v>253</v>
      </c>
      <c r="C27" s="688" t="s">
        <v>333</v>
      </c>
      <c r="D27" s="176">
        <v>2466</v>
      </c>
      <c r="E27" s="563" t="s">
        <v>15</v>
      </c>
      <c r="F27" s="901"/>
      <c r="G27" s="902" t="s">
        <v>307</v>
      </c>
      <c r="H27" s="6"/>
      <c r="I27" s="6"/>
      <c r="J27" s="905"/>
      <c r="K27" s="154">
        <f>SUM($H27:$J27)</f>
        <v>0</v>
      </c>
      <c r="L27" s="814" t="str">
        <f>IF(K27&gt;279,"Yes","NO")</f>
        <v>NO</v>
      </c>
      <c r="M27" s="894" t="str">
        <f>IF(L27="Yes","M","")</f>
        <v/>
      </c>
      <c r="W27" s="10"/>
      <c r="X27" s="13"/>
      <c r="Y27" s="10"/>
      <c r="Z27" s="10"/>
      <c r="AA27" s="49"/>
      <c r="AB27" s="13"/>
      <c r="AC27" s="10"/>
    </row>
    <row r="28" spans="1:29" ht="15.9" customHeight="1" x14ac:dyDescent="0.3">
      <c r="A28" s="13">
        <v>50</v>
      </c>
      <c r="B28" s="766" t="s">
        <v>295</v>
      </c>
      <c r="C28" s="715" t="s">
        <v>334</v>
      </c>
      <c r="D28" s="182">
        <v>1858</v>
      </c>
      <c r="E28" s="347" t="s">
        <v>16</v>
      </c>
      <c r="F28" s="896" t="s">
        <v>358</v>
      </c>
      <c r="G28" s="899" t="s">
        <v>150</v>
      </c>
      <c r="H28" s="2">
        <v>125</v>
      </c>
      <c r="I28" s="2">
        <v>120</v>
      </c>
      <c r="J28" s="904"/>
      <c r="K28" s="152">
        <f t="shared" ref="K28:K29" si="2">SUM($H28:$J28)</f>
        <v>245</v>
      </c>
      <c r="L28" s="812" t="str">
        <f>IF(K28&gt;259,"Yes","NO")</f>
        <v>NO</v>
      </c>
      <c r="M28" s="900" t="str">
        <f>IF(L28="Yes","G","")</f>
        <v/>
      </c>
      <c r="W28" s="10"/>
      <c r="X28" s="13"/>
      <c r="Y28" s="10"/>
      <c r="Z28" s="10"/>
      <c r="AA28" s="49"/>
      <c r="AB28" s="13"/>
      <c r="AC28" s="10"/>
    </row>
    <row r="29" spans="1:29" ht="15.9" customHeight="1" thickBot="1" x14ac:dyDescent="0.35">
      <c r="A29" s="13">
        <v>50</v>
      </c>
      <c r="B29" s="972" t="s">
        <v>279</v>
      </c>
      <c r="C29" s="973" t="s">
        <v>304</v>
      </c>
      <c r="D29" s="128">
        <v>1580</v>
      </c>
      <c r="E29" s="346" t="s">
        <v>16</v>
      </c>
      <c r="F29" s="1048"/>
      <c r="G29" s="1081" t="s">
        <v>155</v>
      </c>
      <c r="H29" s="1">
        <v>118</v>
      </c>
      <c r="I29" s="1">
        <v>117</v>
      </c>
      <c r="J29" s="1047"/>
      <c r="K29" s="153">
        <f t="shared" si="2"/>
        <v>235</v>
      </c>
      <c r="L29" s="1082" t="str">
        <f>IF(K29&gt;259,"Yes","NO")</f>
        <v>NO</v>
      </c>
      <c r="M29" s="1083"/>
      <c r="W29" s="10"/>
      <c r="X29" s="13"/>
      <c r="Y29" s="10"/>
      <c r="Z29" s="10"/>
      <c r="AA29" s="49"/>
      <c r="AB29" s="13"/>
      <c r="AC29" s="10"/>
    </row>
    <row r="30" spans="1:29" ht="15.9" customHeight="1" x14ac:dyDescent="0.3">
      <c r="A30" s="13">
        <v>50</v>
      </c>
      <c r="B30" s="766" t="s">
        <v>261</v>
      </c>
      <c r="C30" s="715" t="s">
        <v>289</v>
      </c>
      <c r="D30" s="182">
        <v>1577</v>
      </c>
      <c r="E30" s="347" t="s">
        <v>17</v>
      </c>
      <c r="F30" s="1084"/>
      <c r="G30" s="899" t="s">
        <v>150</v>
      </c>
      <c r="H30" s="2">
        <v>116</v>
      </c>
      <c r="I30" s="2">
        <v>122</v>
      </c>
      <c r="J30" s="904"/>
      <c r="K30" s="152">
        <f>SUM($H30:$J30)</f>
        <v>238</v>
      </c>
      <c r="L30" s="812" t="str">
        <f>IF(K30&gt;239,"Yes","NO")</f>
        <v>NO</v>
      </c>
      <c r="M30" s="900" t="str">
        <f>IF(L30="Yes","S","")</f>
        <v/>
      </c>
      <c r="N30" s="20" t="s">
        <v>10</v>
      </c>
      <c r="W30" s="10"/>
      <c r="X30" s="13"/>
      <c r="Y30" s="10"/>
      <c r="Z30" s="10"/>
      <c r="AA30" s="49"/>
      <c r="AB30" s="13"/>
      <c r="AC30" s="10"/>
    </row>
    <row r="31" spans="1:29" ht="15.9" customHeight="1" x14ac:dyDescent="0.3">
      <c r="A31" s="13">
        <v>50</v>
      </c>
      <c r="B31" s="763" t="s">
        <v>94</v>
      </c>
      <c r="C31" s="696" t="s">
        <v>309</v>
      </c>
      <c r="D31" s="129">
        <v>1803</v>
      </c>
      <c r="E31" s="354" t="s">
        <v>17</v>
      </c>
      <c r="F31" s="903"/>
      <c r="G31" s="890" t="s">
        <v>155</v>
      </c>
      <c r="H31" s="82">
        <v>97</v>
      </c>
      <c r="I31" s="82">
        <v>107</v>
      </c>
      <c r="J31" s="589"/>
      <c r="K31" s="168">
        <f>SUM($H31:$J31)</f>
        <v>204</v>
      </c>
      <c r="L31" s="813" t="str">
        <f>IF(K31&gt;239,"Yes","NO")</f>
        <v>NO</v>
      </c>
      <c r="M31" s="892" t="str">
        <f>IF(L31="Yes","S","")</f>
        <v/>
      </c>
      <c r="W31" s="10"/>
      <c r="X31" s="13"/>
      <c r="Y31" s="10"/>
      <c r="Z31" s="10"/>
      <c r="AA31" s="49"/>
      <c r="AB31" s="13"/>
      <c r="AC31" s="10"/>
    </row>
    <row r="32" spans="1:29" ht="15.9" customHeight="1" x14ac:dyDescent="0.3">
      <c r="A32" s="13">
        <v>50</v>
      </c>
      <c r="B32" s="763" t="s">
        <v>258</v>
      </c>
      <c r="C32" s="696" t="s">
        <v>196</v>
      </c>
      <c r="D32" s="129">
        <v>1291</v>
      </c>
      <c r="E32" s="354" t="s">
        <v>17</v>
      </c>
      <c r="F32" s="1074" t="s">
        <v>371</v>
      </c>
      <c r="G32" s="890" t="s">
        <v>151</v>
      </c>
      <c r="H32" s="82">
        <v>87</v>
      </c>
      <c r="I32" s="82">
        <v>109</v>
      </c>
      <c r="J32" s="589"/>
      <c r="K32" s="168">
        <f>SUM($H32:$J32)</f>
        <v>196</v>
      </c>
      <c r="L32" s="813" t="str">
        <f>IF(K32&gt;239,"Yes","NO")</f>
        <v>NO</v>
      </c>
      <c r="M32" s="892" t="str">
        <f>IF(L32="Yes","S","")</f>
        <v/>
      </c>
      <c r="W32" s="10"/>
      <c r="X32" s="13"/>
      <c r="Y32" s="10"/>
      <c r="Z32" s="10"/>
      <c r="AA32" s="49"/>
      <c r="AB32" s="13"/>
      <c r="AC32" s="10"/>
    </row>
    <row r="33" spans="1:29" ht="15.9" customHeight="1" x14ac:dyDescent="0.3">
      <c r="A33" s="13">
        <v>50</v>
      </c>
      <c r="B33" s="895">
        <v>1</v>
      </c>
      <c r="C33" s="696" t="s">
        <v>301</v>
      </c>
      <c r="D33" s="129">
        <v>1207</v>
      </c>
      <c r="E33" s="354" t="s">
        <v>17</v>
      </c>
      <c r="F33" s="1066" t="s">
        <v>371</v>
      </c>
      <c r="G33" s="889" t="s">
        <v>155</v>
      </c>
      <c r="H33" s="82">
        <v>86</v>
      </c>
      <c r="I33" s="82">
        <v>77</v>
      </c>
      <c r="J33" s="589"/>
      <c r="K33" s="168">
        <f>SUM($H33:$J33)</f>
        <v>163</v>
      </c>
      <c r="L33" s="813" t="str">
        <f>IF(K33&gt;239,"Yes","NO")</f>
        <v>NO</v>
      </c>
      <c r="M33" s="892" t="str">
        <f>IF(L33="Yes","S","")</f>
        <v/>
      </c>
      <c r="W33" s="10"/>
      <c r="X33" s="13"/>
      <c r="Y33" s="10"/>
      <c r="Z33" s="10"/>
      <c r="AA33" s="49"/>
      <c r="AB33" s="13"/>
      <c r="AC33" s="10"/>
    </row>
    <row r="34" spans="1:29" ht="15.9" customHeight="1" thickBot="1" x14ac:dyDescent="0.35">
      <c r="A34" s="13">
        <v>50</v>
      </c>
      <c r="B34" s="764" t="s">
        <v>233</v>
      </c>
      <c r="C34" s="688" t="s">
        <v>195</v>
      </c>
      <c r="D34" s="176">
        <v>2454</v>
      </c>
      <c r="E34" s="348" t="s">
        <v>17</v>
      </c>
      <c r="F34" s="897"/>
      <c r="G34" s="893" t="s">
        <v>155</v>
      </c>
      <c r="H34" s="6">
        <v>63</v>
      </c>
      <c r="I34" s="6">
        <v>84</v>
      </c>
      <c r="J34" s="905"/>
      <c r="K34" s="154">
        <f>SUM($H34:$J34)</f>
        <v>147</v>
      </c>
      <c r="L34" s="814" t="str">
        <f>IF(K34&gt;239,"Yes","NO")</f>
        <v>NO</v>
      </c>
      <c r="M34" s="894" t="str">
        <f>IF(L34="Yes","S","")</f>
        <v/>
      </c>
      <c r="W34" s="10"/>
      <c r="X34" s="13"/>
      <c r="Y34" s="10"/>
      <c r="Z34" s="10"/>
      <c r="AA34" s="49"/>
      <c r="AB34" s="13"/>
      <c r="AC34" s="10"/>
    </row>
    <row r="35" spans="1:29" ht="27" customHeight="1" thickBot="1" x14ac:dyDescent="0.35">
      <c r="B35" s="967">
        <f>COUNTA(B21:B34)</f>
        <v>13</v>
      </c>
      <c r="C35" s="888" t="s">
        <v>71</v>
      </c>
      <c r="D35" s="1285" t="s">
        <v>69</v>
      </c>
      <c r="E35" s="1285"/>
      <c r="F35" s="1285"/>
      <c r="G35" s="1285"/>
      <c r="H35" s="1285"/>
      <c r="I35" s="1285"/>
      <c r="J35" s="1285"/>
      <c r="K35" s="1285"/>
      <c r="L35" s="1285"/>
      <c r="M35" s="1286"/>
      <c r="N35" s="105"/>
      <c r="W35" s="10"/>
      <c r="X35" s="13"/>
      <c r="Y35" s="10"/>
      <c r="Z35" s="10"/>
      <c r="AA35" s="49"/>
      <c r="AB35" s="13"/>
      <c r="AC35" s="10"/>
    </row>
    <row r="36" spans="1:29" ht="17.100000000000001" customHeight="1" thickBot="1" x14ac:dyDescent="0.35">
      <c r="J36" s="10"/>
      <c r="K36" s="10"/>
      <c r="L36" s="10"/>
      <c r="W36" s="10"/>
      <c r="X36" s="13"/>
      <c r="Y36" s="10"/>
      <c r="Z36" s="10"/>
      <c r="AA36" s="49"/>
      <c r="AB36" s="13"/>
      <c r="AC36" s="10"/>
    </row>
    <row r="37" spans="1:29" ht="25.5" customHeight="1" thickBot="1" x14ac:dyDescent="0.35">
      <c r="C37" s="1189" t="s">
        <v>80</v>
      </c>
      <c r="D37" s="1239"/>
      <c r="E37" s="1239"/>
      <c r="F37" s="1239"/>
      <c r="G37" s="1239"/>
      <c r="H37" s="1239"/>
      <c r="I37" s="1239"/>
      <c r="J37" s="434" t="s">
        <v>55</v>
      </c>
      <c r="K37" s="1187" t="s">
        <v>188</v>
      </c>
      <c r="L37" s="1188"/>
      <c r="M37" s="588">
        <v>300</v>
      </c>
      <c r="W37" s="10"/>
      <c r="X37" s="13"/>
      <c r="Y37" s="10"/>
      <c r="Z37" s="10"/>
      <c r="AA37" s="49"/>
      <c r="AB37" s="13"/>
      <c r="AC37" s="10"/>
    </row>
    <row r="38" spans="1:29" ht="27.9" customHeight="1" thickBot="1" x14ac:dyDescent="0.35">
      <c r="B38" s="779" t="s">
        <v>154</v>
      </c>
      <c r="C38" s="664" t="s">
        <v>0</v>
      </c>
      <c r="D38" s="166" t="s">
        <v>1</v>
      </c>
      <c r="E38" s="411" t="s">
        <v>2</v>
      </c>
      <c r="F38" s="194" t="s">
        <v>108</v>
      </c>
      <c r="G38" s="489" t="s">
        <v>148</v>
      </c>
      <c r="H38" s="686" t="s">
        <v>94</v>
      </c>
      <c r="I38" s="16" t="s">
        <v>93</v>
      </c>
      <c r="J38" s="686" t="s">
        <v>78</v>
      </c>
      <c r="K38" s="73" t="s">
        <v>9</v>
      </c>
      <c r="L38" s="74" t="s">
        <v>79</v>
      </c>
      <c r="M38" s="319" t="s">
        <v>63</v>
      </c>
      <c r="N38" s="125"/>
      <c r="W38" s="10"/>
      <c r="X38" s="13"/>
      <c r="Y38" s="10"/>
      <c r="Z38" s="10"/>
      <c r="AA38" s="49"/>
      <c r="AB38" s="13"/>
      <c r="AC38" s="10"/>
    </row>
    <row r="39" spans="1:29" ht="17.100000000000001" hidden="1" customHeight="1" thickBot="1" x14ac:dyDescent="0.35">
      <c r="B39" s="781"/>
      <c r="C39" s="668" t="s">
        <v>137</v>
      </c>
      <c r="D39" s="43">
        <v>1809</v>
      </c>
      <c r="E39" s="341" t="s">
        <v>14</v>
      </c>
      <c r="F39" s="120"/>
      <c r="G39" s="489" t="s">
        <v>152</v>
      </c>
      <c r="H39" s="99"/>
      <c r="I39" s="523"/>
      <c r="J39" s="99"/>
      <c r="K39" s="108">
        <f>SUM($H39:$J39)</f>
        <v>0</v>
      </c>
      <c r="L39" s="1279"/>
      <c r="M39" s="1280"/>
      <c r="W39" s="10"/>
      <c r="X39" s="13"/>
      <c r="Y39" s="10"/>
      <c r="Z39" s="10"/>
      <c r="AA39" s="49"/>
      <c r="AB39" s="13"/>
      <c r="AC39" s="10"/>
    </row>
    <row r="40" spans="1:29" ht="17.100000000000001" hidden="1" customHeight="1" thickBot="1" x14ac:dyDescent="0.35">
      <c r="B40" s="771"/>
      <c r="C40" s="661"/>
      <c r="D40" s="43"/>
      <c r="E40" s="343" t="s">
        <v>15</v>
      </c>
      <c r="F40" s="123"/>
      <c r="G40" s="484"/>
      <c r="H40" s="133"/>
      <c r="I40" s="5"/>
      <c r="J40" s="75"/>
      <c r="K40" s="108">
        <f t="shared" ref="K40:K43" si="3">SUM($H40:$J40)</f>
        <v>0</v>
      </c>
      <c r="L40" s="11" t="str">
        <f>IF(K40&gt;279,"Yes","NO")</f>
        <v>NO</v>
      </c>
      <c r="M40" s="630" t="str">
        <f>IF(L40="Yes","M","")</f>
        <v/>
      </c>
      <c r="W40" s="10"/>
      <c r="X40" s="13"/>
      <c r="Y40" s="10"/>
      <c r="Z40" s="10"/>
      <c r="AA40" s="49"/>
      <c r="AB40" s="13"/>
      <c r="AC40" s="10"/>
    </row>
    <row r="41" spans="1:29" ht="17.100000000000001" hidden="1" customHeight="1" thickBot="1" x14ac:dyDescent="0.35">
      <c r="B41" s="771"/>
      <c r="C41" s="668"/>
      <c r="D41" s="71"/>
      <c r="E41" s="507" t="s">
        <v>16</v>
      </c>
      <c r="F41" s="120"/>
      <c r="G41" s="489"/>
      <c r="H41" s="651"/>
      <c r="I41" s="19"/>
      <c r="J41" s="99"/>
      <c r="K41" s="73">
        <f t="shared" si="3"/>
        <v>0</v>
      </c>
      <c r="L41" s="686" t="str">
        <f>IF(K41&gt;259,"Yes","NO")</f>
        <v>NO</v>
      </c>
      <c r="M41" s="631" t="str">
        <f>IF(L41="Yes","G","")</f>
        <v/>
      </c>
      <c r="W41" s="10"/>
      <c r="X41" s="13"/>
      <c r="Y41" s="10"/>
      <c r="Z41" s="10"/>
      <c r="AA41" s="49"/>
      <c r="AB41" s="13"/>
      <c r="AC41" s="10"/>
    </row>
    <row r="42" spans="1:29" ht="17.100000000000001" hidden="1" customHeight="1" x14ac:dyDescent="0.3">
      <c r="B42" s="768"/>
      <c r="C42" s="667" t="s">
        <v>203</v>
      </c>
      <c r="D42" s="27">
        <v>1054</v>
      </c>
      <c r="E42" s="416" t="s">
        <v>17</v>
      </c>
      <c r="F42" s="117"/>
      <c r="G42" s="60" t="s">
        <v>152</v>
      </c>
      <c r="H42" s="135"/>
      <c r="I42" s="4"/>
      <c r="J42" s="684"/>
      <c r="K42" s="155">
        <f t="shared" si="3"/>
        <v>0</v>
      </c>
      <c r="L42" s="106" t="str">
        <f>IF(K42&gt;259,"Yes","NO")</f>
        <v>NO</v>
      </c>
      <c r="M42" s="685" t="str">
        <f>IF(L42="Yes","S","")</f>
        <v/>
      </c>
      <c r="W42" s="10"/>
      <c r="X42" s="13"/>
      <c r="Y42" s="10"/>
      <c r="Z42" s="10"/>
      <c r="AA42" s="49"/>
      <c r="AB42" s="13"/>
      <c r="AC42" s="10"/>
    </row>
    <row r="43" spans="1:29" ht="17.100000000000001" hidden="1" customHeight="1" thickBot="1" x14ac:dyDescent="0.35">
      <c r="B43" s="782"/>
      <c r="C43" s="667" t="s">
        <v>130</v>
      </c>
      <c r="D43" s="134">
        <v>1791</v>
      </c>
      <c r="E43" s="408" t="s">
        <v>17</v>
      </c>
      <c r="F43" s="557"/>
      <c r="G43" s="488" t="s">
        <v>150</v>
      </c>
      <c r="H43" s="650"/>
      <c r="I43" s="15"/>
      <c r="J43" s="558"/>
      <c r="K43" s="156">
        <f t="shared" si="3"/>
        <v>0</v>
      </c>
      <c r="L43" s="536" t="str">
        <f>IF(K43&gt;259,"Yes","NO")</f>
        <v>NO</v>
      </c>
      <c r="M43" s="683" t="str">
        <f>IF(L43="Yes","S","")</f>
        <v/>
      </c>
      <c r="W43" s="10"/>
      <c r="X43" s="13"/>
      <c r="Y43" s="10"/>
      <c r="Z43" s="10"/>
      <c r="AA43" s="49"/>
      <c r="AB43" s="13"/>
      <c r="AC43" s="10"/>
    </row>
    <row r="44" spans="1:29" ht="27.9" hidden="1" customHeight="1" thickBot="1" x14ac:dyDescent="0.35">
      <c r="C44" s="669" t="s">
        <v>71</v>
      </c>
      <c r="D44" s="1184" t="s">
        <v>69</v>
      </c>
      <c r="E44" s="1185"/>
      <c r="F44" s="1185"/>
      <c r="G44" s="1185"/>
      <c r="H44" s="1185"/>
      <c r="I44" s="1185"/>
      <c r="J44" s="1185"/>
      <c r="K44" s="1185"/>
      <c r="L44" s="1185"/>
      <c r="M44" s="1186"/>
      <c r="W44" s="10"/>
      <c r="X44" s="13"/>
      <c r="Y44" s="10"/>
      <c r="Z44" s="10"/>
      <c r="AA44" s="49"/>
      <c r="AB44" s="13"/>
      <c r="AC44" s="10"/>
    </row>
    <row r="45" spans="1:29" ht="16.2" thickBot="1" x14ac:dyDescent="0.35"/>
    <row r="46" spans="1:29" ht="25.5" customHeight="1" thickBot="1" x14ac:dyDescent="0.35">
      <c r="C46" s="1189" t="s">
        <v>11</v>
      </c>
      <c r="D46" s="1239"/>
      <c r="E46" s="1239"/>
      <c r="F46" s="1239"/>
      <c r="G46" s="1254"/>
      <c r="H46" s="1239"/>
      <c r="I46" s="1239"/>
      <c r="J46" s="1239"/>
      <c r="K46" s="1239"/>
      <c r="L46" s="1240"/>
      <c r="M46" s="434" t="s">
        <v>57</v>
      </c>
      <c r="N46" s="1187" t="s">
        <v>188</v>
      </c>
      <c r="O46" s="1188"/>
      <c r="P46" s="588">
        <v>600</v>
      </c>
      <c r="Q46" s="100"/>
      <c r="R46" s="100"/>
    </row>
    <row r="47" spans="1:29" ht="32.1" customHeight="1" thickBot="1" x14ac:dyDescent="0.35">
      <c r="B47" s="780" t="s">
        <v>154</v>
      </c>
      <c r="C47" s="670" t="s">
        <v>0</v>
      </c>
      <c r="D47" s="30" t="s">
        <v>1</v>
      </c>
      <c r="E47" s="412" t="s">
        <v>2</v>
      </c>
      <c r="F47" s="885" t="s">
        <v>108</v>
      </c>
      <c r="G47" s="485" t="s">
        <v>153</v>
      </c>
      <c r="H47" s="755" t="s">
        <v>3</v>
      </c>
      <c r="I47" s="756" t="s">
        <v>4</v>
      </c>
      <c r="J47" s="756" t="s">
        <v>5</v>
      </c>
      <c r="K47" s="756" t="s">
        <v>6</v>
      </c>
      <c r="L47" s="756" t="s">
        <v>7</v>
      </c>
      <c r="M47" s="756" t="s">
        <v>8</v>
      </c>
      <c r="N47" s="108" t="s">
        <v>9</v>
      </c>
      <c r="O47" s="449" t="s">
        <v>79</v>
      </c>
      <c r="P47" s="403" t="s">
        <v>61</v>
      </c>
    </row>
    <row r="48" spans="1:29" ht="17.25" customHeight="1" x14ac:dyDescent="0.3">
      <c r="A48" s="13" t="s">
        <v>282</v>
      </c>
      <c r="B48" s="766" t="s">
        <v>248</v>
      </c>
      <c r="C48" s="715" t="s">
        <v>115</v>
      </c>
      <c r="D48" s="182">
        <v>1383</v>
      </c>
      <c r="E48" s="347" t="s">
        <v>14</v>
      </c>
      <c r="F48" s="910" t="s">
        <v>376</v>
      </c>
      <c r="G48" s="490" t="s">
        <v>149</v>
      </c>
      <c r="H48" s="35">
        <v>92</v>
      </c>
      <c r="I48" s="2">
        <v>91</v>
      </c>
      <c r="J48" s="2">
        <v>93</v>
      </c>
      <c r="K48" s="2">
        <v>84</v>
      </c>
      <c r="L48" s="2">
        <v>90</v>
      </c>
      <c r="M48" s="24">
        <v>92</v>
      </c>
      <c r="N48" s="437">
        <f t="shared" ref="N48:N55" si="4">SUM($H48:$M48)</f>
        <v>542</v>
      </c>
      <c r="O48" s="1263"/>
      <c r="P48" s="1264"/>
    </row>
    <row r="49" spans="1:16" ht="17.25" customHeight="1" thickBot="1" x14ac:dyDescent="0.35">
      <c r="B49" s="996" t="s">
        <v>311</v>
      </c>
      <c r="C49" s="997" t="s">
        <v>131</v>
      </c>
      <c r="D49" s="10">
        <v>1194</v>
      </c>
      <c r="E49" s="346" t="s">
        <v>14</v>
      </c>
      <c r="F49" s="1085"/>
      <c r="G49" s="1007" t="s">
        <v>150</v>
      </c>
      <c r="H49" s="36">
        <v>89</v>
      </c>
      <c r="I49" s="1">
        <v>94</v>
      </c>
      <c r="J49" s="1">
        <v>85</v>
      </c>
      <c r="K49" s="1">
        <v>90</v>
      </c>
      <c r="L49" s="1">
        <v>84</v>
      </c>
      <c r="M49" s="25">
        <v>93</v>
      </c>
      <c r="N49" s="1086">
        <f t="shared" si="4"/>
        <v>535</v>
      </c>
      <c r="O49" s="1265"/>
      <c r="P49" s="1266"/>
    </row>
    <row r="50" spans="1:16" ht="17.25" customHeight="1" thickBot="1" x14ac:dyDescent="0.35">
      <c r="A50" s="13" t="s">
        <v>282</v>
      </c>
      <c r="B50" s="111" t="s">
        <v>239</v>
      </c>
      <c r="C50" s="912" t="s">
        <v>134</v>
      </c>
      <c r="D50" s="651">
        <v>1941</v>
      </c>
      <c r="E50" s="349" t="s">
        <v>15</v>
      </c>
      <c r="F50" s="1087" t="s">
        <v>376</v>
      </c>
      <c r="G50" s="489" t="s">
        <v>150</v>
      </c>
      <c r="H50" s="762">
        <v>93</v>
      </c>
      <c r="I50" s="19">
        <v>88</v>
      </c>
      <c r="J50" s="19">
        <v>83</v>
      </c>
      <c r="K50" s="19">
        <v>87</v>
      </c>
      <c r="L50" s="19">
        <v>89</v>
      </c>
      <c r="M50" s="45">
        <v>92</v>
      </c>
      <c r="N50" s="1088">
        <f t="shared" si="4"/>
        <v>532</v>
      </c>
      <c r="O50" s="1089" t="str">
        <f t="shared" ref="O50:O55" si="5">IF(N50&gt;559,"Yes","NO")</f>
        <v>NO</v>
      </c>
      <c r="P50" s="1090" t="str">
        <f t="shared" ref="P50:P55" si="6">IF(O50="Yes","M","")</f>
        <v/>
      </c>
    </row>
    <row r="51" spans="1:16" ht="17.25" customHeight="1" x14ac:dyDescent="0.3">
      <c r="B51" s="766" t="s">
        <v>308</v>
      </c>
      <c r="C51" s="715" t="s">
        <v>178</v>
      </c>
      <c r="D51" s="182">
        <v>309</v>
      </c>
      <c r="E51" s="564" t="s">
        <v>15</v>
      </c>
      <c r="F51" s="910" t="s">
        <v>364</v>
      </c>
      <c r="G51" s="57" t="s">
        <v>307</v>
      </c>
      <c r="H51" s="35">
        <v>85</v>
      </c>
      <c r="I51" s="2">
        <v>91</v>
      </c>
      <c r="J51" s="2">
        <v>86</v>
      </c>
      <c r="K51" s="2">
        <v>92</v>
      </c>
      <c r="L51" s="2">
        <v>91</v>
      </c>
      <c r="M51" s="24">
        <v>87</v>
      </c>
      <c r="N51" s="437">
        <f t="shared" si="4"/>
        <v>532</v>
      </c>
      <c r="O51" s="381" t="str">
        <f>IF(N51&gt;559,"Yes","NO")</f>
        <v>NO</v>
      </c>
      <c r="P51" s="862" t="str">
        <f>IF(O51="Yes","M","")</f>
        <v/>
      </c>
    </row>
    <row r="52" spans="1:16" ht="17.25" customHeight="1" x14ac:dyDescent="0.3">
      <c r="A52" s="13" t="s">
        <v>282</v>
      </c>
      <c r="B52" s="763" t="s">
        <v>237</v>
      </c>
      <c r="C52" s="696" t="s">
        <v>332</v>
      </c>
      <c r="D52" s="129">
        <v>1332</v>
      </c>
      <c r="E52" s="573" t="s">
        <v>15</v>
      </c>
      <c r="F52" s="593" t="s">
        <v>358</v>
      </c>
      <c r="G52" s="62" t="s">
        <v>173</v>
      </c>
      <c r="H52" s="95">
        <v>91</v>
      </c>
      <c r="I52" s="82">
        <v>87</v>
      </c>
      <c r="J52" s="82">
        <v>86</v>
      </c>
      <c r="K52" s="82">
        <v>87</v>
      </c>
      <c r="L52" s="82">
        <v>87</v>
      </c>
      <c r="M52" s="8">
        <v>85</v>
      </c>
      <c r="N52" s="438">
        <f t="shared" si="4"/>
        <v>523</v>
      </c>
      <c r="O52" s="443" t="str">
        <f t="shared" si="5"/>
        <v>NO</v>
      </c>
      <c r="P52" s="632" t="str">
        <f t="shared" si="6"/>
        <v/>
      </c>
    </row>
    <row r="53" spans="1:16" ht="17.25" customHeight="1" x14ac:dyDescent="0.3">
      <c r="A53" s="13" t="s">
        <v>282</v>
      </c>
      <c r="B53" s="763" t="s">
        <v>347</v>
      </c>
      <c r="C53" s="696" t="s">
        <v>348</v>
      </c>
      <c r="D53" s="129">
        <v>1310</v>
      </c>
      <c r="E53" s="354" t="s">
        <v>15</v>
      </c>
      <c r="F53" s="593" t="s">
        <v>358</v>
      </c>
      <c r="G53" s="62" t="s">
        <v>173</v>
      </c>
      <c r="H53" s="95">
        <v>85</v>
      </c>
      <c r="I53" s="82">
        <v>88</v>
      </c>
      <c r="J53" s="82">
        <v>81</v>
      </c>
      <c r="K53" s="82">
        <v>94</v>
      </c>
      <c r="L53" s="82">
        <v>85</v>
      </c>
      <c r="M53" s="8">
        <v>84</v>
      </c>
      <c r="N53" s="438">
        <f t="shared" si="4"/>
        <v>517</v>
      </c>
      <c r="O53" s="443" t="str">
        <f t="shared" si="5"/>
        <v>NO</v>
      </c>
      <c r="P53" s="632" t="str">
        <f t="shared" si="6"/>
        <v/>
      </c>
    </row>
    <row r="54" spans="1:16" ht="17.25" customHeight="1" x14ac:dyDescent="0.3">
      <c r="A54" s="13" t="s">
        <v>282</v>
      </c>
      <c r="B54" s="763" t="s">
        <v>240</v>
      </c>
      <c r="C54" s="696" t="s">
        <v>175</v>
      </c>
      <c r="D54" s="129">
        <v>909</v>
      </c>
      <c r="E54" s="573" t="s">
        <v>15</v>
      </c>
      <c r="F54" s="593" t="s">
        <v>358</v>
      </c>
      <c r="G54" s="62" t="s">
        <v>173</v>
      </c>
      <c r="H54" s="95">
        <v>78</v>
      </c>
      <c r="I54" s="82">
        <v>78</v>
      </c>
      <c r="J54" s="82">
        <v>86</v>
      </c>
      <c r="K54" s="82">
        <v>76</v>
      </c>
      <c r="L54" s="82">
        <v>82</v>
      </c>
      <c r="M54" s="8">
        <v>83</v>
      </c>
      <c r="N54" s="438">
        <f t="shared" si="4"/>
        <v>483</v>
      </c>
      <c r="O54" s="443" t="str">
        <f t="shared" si="5"/>
        <v>NO</v>
      </c>
      <c r="P54" s="632" t="str">
        <f t="shared" si="6"/>
        <v/>
      </c>
    </row>
    <row r="55" spans="1:16" ht="17.25" customHeight="1" thickBot="1" x14ac:dyDescent="0.35">
      <c r="A55" s="13" t="s">
        <v>282</v>
      </c>
      <c r="B55" s="764" t="s">
        <v>231</v>
      </c>
      <c r="C55" s="688" t="s">
        <v>132</v>
      </c>
      <c r="D55" s="176">
        <v>1506</v>
      </c>
      <c r="E55" s="348" t="s">
        <v>15</v>
      </c>
      <c r="F55" s="909" t="s">
        <v>376</v>
      </c>
      <c r="G55" s="487" t="s">
        <v>150</v>
      </c>
      <c r="H55" s="37">
        <v>85</v>
      </c>
      <c r="I55" s="6">
        <v>81</v>
      </c>
      <c r="J55" s="6">
        <v>83</v>
      </c>
      <c r="K55" s="6">
        <v>71</v>
      </c>
      <c r="L55" s="6">
        <v>78</v>
      </c>
      <c r="M55" s="26">
        <v>71</v>
      </c>
      <c r="N55" s="435">
        <f t="shared" si="4"/>
        <v>469</v>
      </c>
      <c r="O55" s="382" t="str">
        <f t="shared" si="5"/>
        <v>NO</v>
      </c>
      <c r="P55" s="633" t="str">
        <f t="shared" si="6"/>
        <v/>
      </c>
    </row>
    <row r="56" spans="1:16" ht="17.25" customHeight="1" x14ac:dyDescent="0.3">
      <c r="A56" s="13" t="s">
        <v>282</v>
      </c>
      <c r="B56" s="911">
        <v>3</v>
      </c>
      <c r="C56" s="715" t="s">
        <v>303</v>
      </c>
      <c r="D56" s="182">
        <v>2026</v>
      </c>
      <c r="E56" s="347" t="s">
        <v>16</v>
      </c>
      <c r="F56" s="592"/>
      <c r="G56" s="57" t="s">
        <v>150</v>
      </c>
      <c r="H56" s="35">
        <v>82</v>
      </c>
      <c r="I56" s="2">
        <v>84</v>
      </c>
      <c r="J56" s="2">
        <v>86</v>
      </c>
      <c r="K56" s="2">
        <v>75</v>
      </c>
      <c r="L56" s="2">
        <v>83</v>
      </c>
      <c r="M56" s="24">
        <v>91</v>
      </c>
      <c r="N56" s="437">
        <f t="shared" ref="N56:N58" si="7">SUM($H56:$M56)</f>
        <v>501</v>
      </c>
      <c r="O56" s="381" t="str">
        <f>IF(N56&gt;529,"Yes","NO")</f>
        <v>NO</v>
      </c>
      <c r="P56" s="862" t="str">
        <f>IF(O56="Yes","G","")</f>
        <v/>
      </c>
    </row>
    <row r="57" spans="1:16" ht="17.25" customHeight="1" x14ac:dyDescent="0.3">
      <c r="B57" s="1000" t="s">
        <v>355</v>
      </c>
      <c r="C57" s="997" t="s">
        <v>356</v>
      </c>
      <c r="D57" s="10">
        <v>2039</v>
      </c>
      <c r="E57" s="346" t="s">
        <v>16</v>
      </c>
      <c r="F57" s="1009" t="s">
        <v>364</v>
      </c>
      <c r="G57" s="1007" t="s">
        <v>155</v>
      </c>
      <c r="H57" s="95">
        <v>83</v>
      </c>
      <c r="I57" s="82">
        <v>84</v>
      </c>
      <c r="J57" s="82">
        <v>81</v>
      </c>
      <c r="K57" s="82">
        <v>82</v>
      </c>
      <c r="L57" s="82">
        <v>79</v>
      </c>
      <c r="M57" s="8">
        <v>80</v>
      </c>
      <c r="N57" s="438">
        <f t="shared" si="7"/>
        <v>489</v>
      </c>
      <c r="O57" s="443" t="str">
        <f>IF(N57&gt;529,"Yes","NO")</f>
        <v>NO</v>
      </c>
      <c r="P57" s="632" t="str">
        <f>IF(O57="Yes","G","")</f>
        <v/>
      </c>
    </row>
    <row r="58" spans="1:16" ht="17.25" customHeight="1" thickBot="1" x14ac:dyDescent="0.35">
      <c r="B58" s="1033" t="s">
        <v>354</v>
      </c>
      <c r="C58" s="688" t="s">
        <v>172</v>
      </c>
      <c r="D58" s="176">
        <v>1628</v>
      </c>
      <c r="E58" s="348" t="s">
        <v>16</v>
      </c>
      <c r="F58" s="1091" t="s">
        <v>358</v>
      </c>
      <c r="G58" s="487" t="s">
        <v>155</v>
      </c>
      <c r="H58" s="37">
        <v>79</v>
      </c>
      <c r="I58" s="6">
        <v>72</v>
      </c>
      <c r="J58" s="6">
        <v>74</v>
      </c>
      <c r="K58" s="6">
        <v>77</v>
      </c>
      <c r="L58" s="6">
        <v>87</v>
      </c>
      <c r="M58" s="26">
        <v>78</v>
      </c>
      <c r="N58" s="435">
        <f t="shared" si="7"/>
        <v>467</v>
      </c>
      <c r="O58" s="382" t="str">
        <f>IF(N58&gt;529,"Yes","NO")</f>
        <v>NO</v>
      </c>
      <c r="P58" s="633" t="str">
        <f>IF(O58="Yes","G","")</f>
        <v/>
      </c>
    </row>
    <row r="59" spans="1:16" ht="17.25" customHeight="1" x14ac:dyDescent="0.3">
      <c r="A59" s="13" t="s">
        <v>282</v>
      </c>
      <c r="B59" s="765" t="s">
        <v>351</v>
      </c>
      <c r="C59" s="776" t="s">
        <v>352</v>
      </c>
      <c r="D59" s="135">
        <v>1964</v>
      </c>
      <c r="E59" s="570" t="s">
        <v>17</v>
      </c>
      <c r="F59" s="1028" t="s">
        <v>358</v>
      </c>
      <c r="G59" s="60" t="s">
        <v>173</v>
      </c>
      <c r="H59" s="9">
        <v>81</v>
      </c>
      <c r="I59" s="4">
        <v>83</v>
      </c>
      <c r="J59" s="4">
        <v>88</v>
      </c>
      <c r="K59" s="4">
        <v>86</v>
      </c>
      <c r="L59" s="4">
        <v>74</v>
      </c>
      <c r="M59" s="7">
        <v>85</v>
      </c>
      <c r="N59" s="908">
        <f t="shared" ref="N59:N71" si="8">SUM($H59:$M59)</f>
        <v>497</v>
      </c>
      <c r="O59" s="383" t="str">
        <f t="shared" ref="O59:O71" si="9">IF(N59&gt;499,"Yes","NO")</f>
        <v>NO</v>
      </c>
      <c r="P59" s="634" t="str">
        <f t="shared" ref="P59:P71" si="10">IF(O59="Yes","S","")</f>
        <v/>
      </c>
    </row>
    <row r="60" spans="1:16" ht="17.25" customHeight="1" x14ac:dyDescent="0.3">
      <c r="B60" s="765" t="s">
        <v>349</v>
      </c>
      <c r="C60" s="776" t="s">
        <v>350</v>
      </c>
      <c r="D60" s="135">
        <v>2038</v>
      </c>
      <c r="E60" s="573" t="s">
        <v>17</v>
      </c>
      <c r="F60" s="1008" t="s">
        <v>358</v>
      </c>
      <c r="G60" s="62" t="s">
        <v>173</v>
      </c>
      <c r="H60" s="95">
        <v>79</v>
      </c>
      <c r="I60" s="82">
        <v>83</v>
      </c>
      <c r="J60" s="82">
        <v>83</v>
      </c>
      <c r="K60" s="82">
        <v>86</v>
      </c>
      <c r="L60" s="82">
        <v>85</v>
      </c>
      <c r="M60" s="8">
        <v>80</v>
      </c>
      <c r="N60" s="438">
        <f t="shared" si="8"/>
        <v>496</v>
      </c>
      <c r="O60" s="443" t="str">
        <f t="shared" si="9"/>
        <v>NO</v>
      </c>
      <c r="P60" s="632" t="str">
        <f t="shared" si="10"/>
        <v/>
      </c>
    </row>
    <row r="61" spans="1:16" ht="17.25" customHeight="1" x14ac:dyDescent="0.3">
      <c r="B61" s="765" t="s">
        <v>249</v>
      </c>
      <c r="C61" s="776" t="s">
        <v>251</v>
      </c>
      <c r="D61" s="135">
        <v>1254</v>
      </c>
      <c r="E61" s="573" t="s">
        <v>17</v>
      </c>
      <c r="F61" s="594"/>
      <c r="G61" s="62" t="s">
        <v>150</v>
      </c>
      <c r="H61" s="95">
        <v>80</v>
      </c>
      <c r="I61" s="82">
        <v>77</v>
      </c>
      <c r="J61" s="82">
        <v>82</v>
      </c>
      <c r="K61" s="82">
        <v>78</v>
      </c>
      <c r="L61" s="82">
        <v>83</v>
      </c>
      <c r="M61" s="8">
        <v>81</v>
      </c>
      <c r="N61" s="438">
        <f t="shared" si="8"/>
        <v>481</v>
      </c>
      <c r="O61" s="443" t="str">
        <f t="shared" si="9"/>
        <v>NO</v>
      </c>
      <c r="P61" s="632" t="str">
        <f t="shared" si="10"/>
        <v/>
      </c>
    </row>
    <row r="62" spans="1:16" ht="17.25" customHeight="1" x14ac:dyDescent="0.3">
      <c r="B62" s="765" t="s">
        <v>160</v>
      </c>
      <c r="C62" s="776" t="s">
        <v>205</v>
      </c>
      <c r="D62" s="135">
        <v>1350</v>
      </c>
      <c r="E62" s="573" t="s">
        <v>17</v>
      </c>
      <c r="F62" s="594" t="s">
        <v>376</v>
      </c>
      <c r="G62" s="62" t="s">
        <v>173</v>
      </c>
      <c r="H62" s="95">
        <v>84</v>
      </c>
      <c r="I62" s="82">
        <v>82</v>
      </c>
      <c r="J62" s="82">
        <v>75</v>
      </c>
      <c r="K62" s="82">
        <v>75</v>
      </c>
      <c r="L62" s="82">
        <v>81</v>
      </c>
      <c r="M62" s="8">
        <v>77</v>
      </c>
      <c r="N62" s="438">
        <f t="shared" si="8"/>
        <v>474</v>
      </c>
      <c r="O62" s="443" t="str">
        <f t="shared" si="9"/>
        <v>NO</v>
      </c>
      <c r="P62" s="632" t="str">
        <f t="shared" si="10"/>
        <v/>
      </c>
    </row>
    <row r="63" spans="1:16" ht="17.25" customHeight="1" x14ac:dyDescent="0.3">
      <c r="A63" s="13" t="s">
        <v>282</v>
      </c>
      <c r="B63" s="895">
        <v>1</v>
      </c>
      <c r="C63" s="696" t="s">
        <v>301</v>
      </c>
      <c r="D63" s="129">
        <v>1207</v>
      </c>
      <c r="E63" s="354" t="s">
        <v>17</v>
      </c>
      <c r="F63" s="594" t="s">
        <v>376</v>
      </c>
      <c r="G63" s="62" t="s">
        <v>173</v>
      </c>
      <c r="H63" s="95">
        <v>78</v>
      </c>
      <c r="I63" s="82">
        <v>81</v>
      </c>
      <c r="J63" s="82">
        <v>79</v>
      </c>
      <c r="K63" s="82">
        <v>76</v>
      </c>
      <c r="L63" s="82">
        <v>56</v>
      </c>
      <c r="M63" s="8">
        <v>74</v>
      </c>
      <c r="N63" s="438">
        <f t="shared" si="8"/>
        <v>444</v>
      </c>
      <c r="O63" s="443" t="str">
        <f t="shared" si="9"/>
        <v>NO</v>
      </c>
      <c r="P63" s="632" t="str">
        <f t="shared" si="10"/>
        <v/>
      </c>
    </row>
    <row r="64" spans="1:16" ht="17.25" customHeight="1" x14ac:dyDescent="0.3">
      <c r="A64" s="13" t="s">
        <v>282</v>
      </c>
      <c r="B64" s="763" t="s">
        <v>234</v>
      </c>
      <c r="C64" s="696" t="s">
        <v>298</v>
      </c>
      <c r="D64" s="129">
        <v>1890</v>
      </c>
      <c r="E64" s="354" t="s">
        <v>17</v>
      </c>
      <c r="F64" s="594"/>
      <c r="G64" s="62" t="s">
        <v>150</v>
      </c>
      <c r="H64" s="95">
        <v>65</v>
      </c>
      <c r="I64" s="82">
        <v>81</v>
      </c>
      <c r="J64" s="82">
        <v>76</v>
      </c>
      <c r="K64" s="82">
        <v>67</v>
      </c>
      <c r="L64" s="82">
        <v>82</v>
      </c>
      <c r="M64" s="8">
        <v>71</v>
      </c>
      <c r="N64" s="438">
        <f t="shared" si="8"/>
        <v>442</v>
      </c>
      <c r="O64" s="443" t="str">
        <f t="shared" si="9"/>
        <v>NO</v>
      </c>
      <c r="P64" s="632" t="str">
        <f t="shared" si="10"/>
        <v/>
      </c>
    </row>
    <row r="65" spans="1:16" ht="17.25" customHeight="1" x14ac:dyDescent="0.3">
      <c r="B65" s="763" t="s">
        <v>258</v>
      </c>
      <c r="C65" s="696" t="s">
        <v>196</v>
      </c>
      <c r="D65" s="129">
        <v>1291</v>
      </c>
      <c r="E65" s="573" t="s">
        <v>17</v>
      </c>
      <c r="F65" s="594"/>
      <c r="G65" s="62" t="s">
        <v>151</v>
      </c>
      <c r="H65" s="95">
        <v>74</v>
      </c>
      <c r="I65" s="82">
        <v>59</v>
      </c>
      <c r="J65" s="82">
        <v>78</v>
      </c>
      <c r="K65" s="82">
        <v>70</v>
      </c>
      <c r="L65" s="82">
        <v>80</v>
      </c>
      <c r="M65" s="8">
        <v>80</v>
      </c>
      <c r="N65" s="438">
        <f t="shared" si="8"/>
        <v>441</v>
      </c>
      <c r="O65" s="443" t="str">
        <f t="shared" si="9"/>
        <v>NO</v>
      </c>
      <c r="P65" s="632" t="str">
        <f t="shared" si="10"/>
        <v/>
      </c>
    </row>
    <row r="66" spans="1:16" ht="17.25" customHeight="1" x14ac:dyDescent="0.3">
      <c r="A66" s="13" t="s">
        <v>282</v>
      </c>
      <c r="B66" s="763"/>
      <c r="C66" s="696" t="s">
        <v>225</v>
      </c>
      <c r="D66" s="129">
        <v>1268</v>
      </c>
      <c r="E66" s="354" t="s">
        <v>17</v>
      </c>
      <c r="F66" s="594" t="s">
        <v>371</v>
      </c>
      <c r="G66" s="499" t="s">
        <v>149</v>
      </c>
      <c r="H66" s="95">
        <v>71</v>
      </c>
      <c r="I66" s="82">
        <v>71</v>
      </c>
      <c r="J66" s="82">
        <v>65</v>
      </c>
      <c r="K66" s="82">
        <v>66</v>
      </c>
      <c r="L66" s="82">
        <v>82</v>
      </c>
      <c r="M66" s="8">
        <v>83</v>
      </c>
      <c r="N66" s="438">
        <f t="shared" si="8"/>
        <v>438</v>
      </c>
      <c r="O66" s="443" t="str">
        <f t="shared" si="9"/>
        <v>NO</v>
      </c>
      <c r="P66" s="632" t="str">
        <f t="shared" si="10"/>
        <v/>
      </c>
    </row>
    <row r="67" spans="1:16" ht="17.25" customHeight="1" x14ac:dyDescent="0.3">
      <c r="A67" s="13" t="s">
        <v>282</v>
      </c>
      <c r="B67" s="763" t="s">
        <v>94</v>
      </c>
      <c r="C67" s="696" t="s">
        <v>309</v>
      </c>
      <c r="D67" s="129">
        <v>1803</v>
      </c>
      <c r="E67" s="354" t="s">
        <v>17</v>
      </c>
      <c r="F67" s="594" t="s">
        <v>387</v>
      </c>
      <c r="G67" s="499" t="s">
        <v>149</v>
      </c>
      <c r="H67" s="95">
        <v>74</v>
      </c>
      <c r="I67" s="82">
        <v>73</v>
      </c>
      <c r="J67" s="82">
        <v>68</v>
      </c>
      <c r="K67" s="82">
        <v>71</v>
      </c>
      <c r="L67" s="82">
        <v>74</v>
      </c>
      <c r="M67" s="8">
        <v>75</v>
      </c>
      <c r="N67" s="438">
        <f t="shared" si="8"/>
        <v>435</v>
      </c>
      <c r="O67" s="443" t="str">
        <f t="shared" si="9"/>
        <v>NO</v>
      </c>
      <c r="P67" s="632" t="str">
        <f t="shared" si="10"/>
        <v/>
      </c>
    </row>
    <row r="68" spans="1:16" ht="17.25" customHeight="1" x14ac:dyDescent="0.3">
      <c r="A68" s="13" t="s">
        <v>282</v>
      </c>
      <c r="B68" s="763" t="s">
        <v>317</v>
      </c>
      <c r="C68" s="696" t="s">
        <v>318</v>
      </c>
      <c r="D68" s="129">
        <v>1351</v>
      </c>
      <c r="E68" s="354" t="s">
        <v>17</v>
      </c>
      <c r="F68" s="594" t="s">
        <v>376</v>
      </c>
      <c r="G68" s="62" t="s">
        <v>150</v>
      </c>
      <c r="H68" s="95">
        <v>79</v>
      </c>
      <c r="I68" s="82">
        <v>70</v>
      </c>
      <c r="J68" s="82">
        <v>71</v>
      </c>
      <c r="K68" s="82">
        <v>75</v>
      </c>
      <c r="L68" s="82">
        <v>72</v>
      </c>
      <c r="M68" s="8">
        <v>68</v>
      </c>
      <c r="N68" s="438">
        <f t="shared" si="8"/>
        <v>435</v>
      </c>
      <c r="O68" s="443" t="str">
        <f t="shared" si="9"/>
        <v>NO</v>
      </c>
      <c r="P68" s="632" t="str">
        <f t="shared" si="10"/>
        <v/>
      </c>
    </row>
    <row r="69" spans="1:16" ht="17.25" customHeight="1" x14ac:dyDescent="0.3">
      <c r="A69" s="13" t="s">
        <v>282</v>
      </c>
      <c r="B69" s="763" t="s">
        <v>344</v>
      </c>
      <c r="C69" s="696" t="s">
        <v>345</v>
      </c>
      <c r="D69" s="129">
        <v>1311</v>
      </c>
      <c r="E69" s="573" t="s">
        <v>17</v>
      </c>
      <c r="F69" s="1008" t="s">
        <v>358</v>
      </c>
      <c r="G69" s="62" t="s">
        <v>173</v>
      </c>
      <c r="H69" s="95">
        <v>64</v>
      </c>
      <c r="I69" s="82">
        <v>71</v>
      </c>
      <c r="J69" s="82">
        <v>62</v>
      </c>
      <c r="K69" s="82">
        <v>63</v>
      </c>
      <c r="L69" s="82">
        <v>77</v>
      </c>
      <c r="M69" s="8">
        <v>83</v>
      </c>
      <c r="N69" s="438">
        <f t="shared" si="8"/>
        <v>420</v>
      </c>
      <c r="O69" s="443" t="str">
        <f t="shared" si="9"/>
        <v>NO</v>
      </c>
      <c r="P69" s="632" t="str">
        <f t="shared" si="10"/>
        <v/>
      </c>
    </row>
    <row r="70" spans="1:16" ht="17.25" customHeight="1" x14ac:dyDescent="0.3">
      <c r="A70" s="13" t="s">
        <v>282</v>
      </c>
      <c r="B70" s="763" t="s">
        <v>233</v>
      </c>
      <c r="C70" s="696" t="s">
        <v>195</v>
      </c>
      <c r="D70" s="129">
        <v>2454</v>
      </c>
      <c r="E70" s="573" t="s">
        <v>17</v>
      </c>
      <c r="F70" s="594"/>
      <c r="G70" s="62" t="s">
        <v>150</v>
      </c>
      <c r="H70" s="95">
        <v>64</v>
      </c>
      <c r="I70" s="82">
        <v>61</v>
      </c>
      <c r="J70" s="82">
        <v>45</v>
      </c>
      <c r="K70" s="82">
        <v>63</v>
      </c>
      <c r="L70" s="82">
        <v>59</v>
      </c>
      <c r="M70" s="8">
        <v>58</v>
      </c>
      <c r="N70" s="438">
        <f t="shared" si="8"/>
        <v>350</v>
      </c>
      <c r="O70" s="443" t="str">
        <f t="shared" si="9"/>
        <v>NO</v>
      </c>
      <c r="P70" s="632" t="str">
        <f t="shared" si="10"/>
        <v/>
      </c>
    </row>
    <row r="71" spans="1:16" ht="17.25" customHeight="1" thickBot="1" x14ac:dyDescent="0.35">
      <c r="A71" s="13" t="s">
        <v>282</v>
      </c>
      <c r="B71" s="763"/>
      <c r="C71" s="696" t="s">
        <v>292</v>
      </c>
      <c r="D71" s="129">
        <v>1951</v>
      </c>
      <c r="E71" s="573" t="s">
        <v>17</v>
      </c>
      <c r="F71" s="1008" t="s">
        <v>371</v>
      </c>
      <c r="G71" s="62" t="s">
        <v>173</v>
      </c>
      <c r="H71" s="139">
        <v>52</v>
      </c>
      <c r="I71" s="6">
        <v>54</v>
      </c>
      <c r="J71" s="6">
        <v>50</v>
      </c>
      <c r="K71" s="6">
        <v>67</v>
      </c>
      <c r="L71" s="6">
        <v>59</v>
      </c>
      <c r="M71" s="6">
        <v>64</v>
      </c>
      <c r="N71" s="438">
        <f t="shared" si="8"/>
        <v>346</v>
      </c>
      <c r="O71" s="443" t="str">
        <f t="shared" si="9"/>
        <v>NO</v>
      </c>
      <c r="P71" s="632" t="str">
        <f t="shared" si="10"/>
        <v/>
      </c>
    </row>
    <row r="72" spans="1:16" ht="25.5" customHeight="1" thickBot="1" x14ac:dyDescent="0.35">
      <c r="B72" s="967">
        <f>COUNTA(B48:B71)</f>
        <v>22</v>
      </c>
      <c r="C72" s="888" t="s">
        <v>64</v>
      </c>
      <c r="D72" s="1251" t="s">
        <v>65</v>
      </c>
      <c r="E72" s="1252"/>
      <c r="F72" s="1252"/>
      <c r="G72" s="1252"/>
      <c r="H72" s="1252"/>
      <c r="I72" s="1252"/>
      <c r="J72" s="1252"/>
      <c r="K72" s="1252"/>
      <c r="L72" s="1252"/>
      <c r="M72" s="1253"/>
    </row>
    <row r="74" spans="1:16" ht="16.2" thickBot="1" x14ac:dyDescent="0.35"/>
    <row r="75" spans="1:16" ht="25.8" customHeight="1" thickBot="1" x14ac:dyDescent="0.35">
      <c r="B75" s="1189" t="s">
        <v>362</v>
      </c>
      <c r="C75" s="1190"/>
      <c r="D75" s="1190"/>
      <c r="E75" s="1190"/>
      <c r="F75" s="1190"/>
      <c r="G75" s="1190"/>
      <c r="H75" s="1224"/>
      <c r="I75" s="1224"/>
      <c r="J75" s="1224"/>
      <c r="K75" s="969" t="s">
        <v>116</v>
      </c>
      <c r="L75" s="1225" t="s">
        <v>188</v>
      </c>
      <c r="M75" s="1226"/>
      <c r="N75" s="590">
        <v>600</v>
      </c>
    </row>
    <row r="76" spans="1:16" ht="24" customHeight="1" thickBot="1" x14ac:dyDescent="0.35">
      <c r="B76" s="1192" t="s">
        <v>338</v>
      </c>
      <c r="C76" s="1193"/>
      <c r="D76" s="1193"/>
      <c r="E76" s="1193"/>
      <c r="F76" s="1193"/>
      <c r="G76" s="1193"/>
      <c r="H76" s="1192" t="s">
        <v>339</v>
      </c>
      <c r="I76" s="1193"/>
      <c r="J76" s="1193"/>
      <c r="K76" s="1193"/>
      <c r="L76" s="1193"/>
      <c r="M76" s="1193"/>
      <c r="N76" s="1193"/>
      <c r="O76" s="1194"/>
    </row>
    <row r="77" spans="1:16" ht="28.2" thickBot="1" x14ac:dyDescent="0.35">
      <c r="B77" s="779" t="s">
        <v>154</v>
      </c>
      <c r="C77" s="719" t="s">
        <v>0</v>
      </c>
      <c r="D77" s="30" t="s">
        <v>1</v>
      </c>
      <c r="E77" s="351" t="s">
        <v>2</v>
      </c>
      <c r="F77" s="917" t="s">
        <v>108</v>
      </c>
      <c r="G77" s="489" t="s">
        <v>153</v>
      </c>
      <c r="H77" s="412" t="s">
        <v>94</v>
      </c>
      <c r="I77" s="971" t="s">
        <v>93</v>
      </c>
      <c r="J77" s="517" t="s">
        <v>78</v>
      </c>
      <c r="K77" s="146" t="s">
        <v>37</v>
      </c>
      <c r="L77" s="97" t="s">
        <v>34</v>
      </c>
      <c r="M77" s="145" t="s">
        <v>35</v>
      </c>
      <c r="N77" s="143" t="s">
        <v>36</v>
      </c>
      <c r="O77" s="146" t="s">
        <v>37</v>
      </c>
      <c r="P77" s="459" t="s">
        <v>9</v>
      </c>
    </row>
    <row r="78" spans="1:16" ht="17.100000000000001" customHeight="1" x14ac:dyDescent="0.3">
      <c r="B78" s="768" t="s">
        <v>236</v>
      </c>
      <c r="C78" s="672" t="s">
        <v>337</v>
      </c>
      <c r="D78" s="68">
        <v>1942</v>
      </c>
      <c r="E78" s="564" t="s">
        <v>120</v>
      </c>
      <c r="F78" s="910" t="s">
        <v>361</v>
      </c>
      <c r="G78" s="60" t="s">
        <v>150</v>
      </c>
      <c r="H78" s="137">
        <v>136</v>
      </c>
      <c r="I78" s="24">
        <v>142</v>
      </c>
      <c r="J78" s="138"/>
      <c r="K78" s="57">
        <f t="shared" ref="K78:K88" si="11">SUM($H78:$J78)</f>
        <v>278</v>
      </c>
      <c r="L78" s="35">
        <v>96</v>
      </c>
      <c r="M78" s="2">
        <v>98</v>
      </c>
      <c r="N78" s="24">
        <v>98</v>
      </c>
      <c r="O78" s="57">
        <f t="shared" ref="O78:O88" si="12">SUM($L78:$N78)</f>
        <v>292</v>
      </c>
      <c r="P78" s="530">
        <f t="shared" ref="P78:P88" si="13">$O78+$K78</f>
        <v>570</v>
      </c>
    </row>
    <row r="79" spans="1:16" ht="17.100000000000001" customHeight="1" x14ac:dyDescent="0.3">
      <c r="B79" s="767" t="s">
        <v>236</v>
      </c>
      <c r="C79" s="673" t="s">
        <v>134</v>
      </c>
      <c r="D79" s="591">
        <v>1941</v>
      </c>
      <c r="E79" s="573" t="s">
        <v>120</v>
      </c>
      <c r="F79" s="593" t="s">
        <v>361</v>
      </c>
      <c r="G79" s="62" t="s">
        <v>150</v>
      </c>
      <c r="H79" s="81">
        <v>126</v>
      </c>
      <c r="I79" s="8">
        <v>136</v>
      </c>
      <c r="J79" s="86"/>
      <c r="K79" s="62">
        <f t="shared" si="11"/>
        <v>262</v>
      </c>
      <c r="L79" s="95">
        <v>88</v>
      </c>
      <c r="M79" s="82">
        <v>86</v>
      </c>
      <c r="N79" s="8">
        <v>96</v>
      </c>
      <c r="O79" s="62">
        <f t="shared" si="12"/>
        <v>270</v>
      </c>
      <c r="P79" s="970">
        <f t="shared" si="13"/>
        <v>532</v>
      </c>
    </row>
    <row r="80" spans="1:16" ht="17.100000000000001" customHeight="1" x14ac:dyDescent="0.3">
      <c r="B80" s="767" t="s">
        <v>324</v>
      </c>
      <c r="C80" s="673" t="s">
        <v>303</v>
      </c>
      <c r="D80" s="591">
        <v>2026</v>
      </c>
      <c r="E80" s="573" t="s">
        <v>120</v>
      </c>
      <c r="F80" s="593" t="s">
        <v>361</v>
      </c>
      <c r="G80" s="62" t="s">
        <v>150</v>
      </c>
      <c r="H80" s="81">
        <v>89</v>
      </c>
      <c r="I80" s="8">
        <v>91</v>
      </c>
      <c r="J80" s="86">
        <v>90</v>
      </c>
      <c r="K80" s="62">
        <f t="shared" si="11"/>
        <v>270</v>
      </c>
      <c r="L80" s="95">
        <v>86</v>
      </c>
      <c r="M80" s="82">
        <v>90</v>
      </c>
      <c r="N80" s="8">
        <v>84</v>
      </c>
      <c r="O80" s="62">
        <f t="shared" si="12"/>
        <v>260</v>
      </c>
      <c r="P80" s="970">
        <f t="shared" si="13"/>
        <v>530</v>
      </c>
    </row>
    <row r="81" spans="1:18" ht="17.100000000000001" customHeight="1" x14ac:dyDescent="0.3">
      <c r="B81" s="767"/>
      <c r="C81" s="673" t="s">
        <v>316</v>
      </c>
      <c r="D81" s="591" t="s">
        <v>327</v>
      </c>
      <c r="E81" s="573" t="s">
        <v>120</v>
      </c>
      <c r="F81" s="594"/>
      <c r="G81" s="62" t="s">
        <v>155</v>
      </c>
      <c r="H81" s="81">
        <v>122</v>
      </c>
      <c r="I81" s="8">
        <v>129</v>
      </c>
      <c r="J81" s="86"/>
      <c r="K81" s="62">
        <f t="shared" si="11"/>
        <v>251</v>
      </c>
      <c r="L81" s="95">
        <v>87</v>
      </c>
      <c r="M81" s="82">
        <v>93</v>
      </c>
      <c r="N81" s="8">
        <v>94</v>
      </c>
      <c r="O81" s="62">
        <f t="shared" si="12"/>
        <v>274</v>
      </c>
      <c r="P81" s="970">
        <f t="shared" si="13"/>
        <v>525</v>
      </c>
      <c r="R81" s="20" t="s">
        <v>377</v>
      </c>
    </row>
    <row r="82" spans="1:18" ht="17.100000000000001" customHeight="1" x14ac:dyDescent="0.3">
      <c r="B82" s="767" t="s">
        <v>249</v>
      </c>
      <c r="C82" s="673" t="s">
        <v>250</v>
      </c>
      <c r="D82" s="591">
        <v>1254</v>
      </c>
      <c r="E82" s="573" t="s">
        <v>120</v>
      </c>
      <c r="F82" s="594"/>
      <c r="G82" s="62" t="s">
        <v>150</v>
      </c>
      <c r="H82" s="81">
        <v>130</v>
      </c>
      <c r="I82" s="8">
        <v>129</v>
      </c>
      <c r="J82" s="86"/>
      <c r="K82" s="62">
        <f t="shared" si="11"/>
        <v>259</v>
      </c>
      <c r="L82" s="95">
        <v>87</v>
      </c>
      <c r="M82" s="82">
        <v>86</v>
      </c>
      <c r="N82" s="8">
        <v>83</v>
      </c>
      <c r="O82" s="62">
        <f t="shared" si="12"/>
        <v>256</v>
      </c>
      <c r="P82" s="970">
        <f t="shared" si="13"/>
        <v>515</v>
      </c>
    </row>
    <row r="83" spans="1:18" ht="17.100000000000001" customHeight="1" x14ac:dyDescent="0.3">
      <c r="B83" s="767" t="s">
        <v>324</v>
      </c>
      <c r="C83" s="673" t="s">
        <v>325</v>
      </c>
      <c r="D83" s="591">
        <v>1929</v>
      </c>
      <c r="E83" s="573" t="s">
        <v>120</v>
      </c>
      <c r="F83" s="593" t="s">
        <v>361</v>
      </c>
      <c r="G83" s="62" t="s">
        <v>150</v>
      </c>
      <c r="H83" s="81">
        <v>84</v>
      </c>
      <c r="I83" s="8">
        <v>81</v>
      </c>
      <c r="J83" s="86">
        <v>76</v>
      </c>
      <c r="K83" s="62">
        <f t="shared" si="11"/>
        <v>241</v>
      </c>
      <c r="L83" s="95">
        <v>88</v>
      </c>
      <c r="M83" s="82">
        <v>90</v>
      </c>
      <c r="N83" s="8">
        <v>89</v>
      </c>
      <c r="O83" s="62">
        <f t="shared" si="12"/>
        <v>267</v>
      </c>
      <c r="P83" s="970">
        <f t="shared" si="13"/>
        <v>508</v>
      </c>
    </row>
    <row r="84" spans="1:18" ht="17.100000000000001" customHeight="1" x14ac:dyDescent="0.3">
      <c r="B84" s="767" t="s">
        <v>78</v>
      </c>
      <c r="C84" s="673" t="s">
        <v>326</v>
      </c>
      <c r="D84" s="591" t="s">
        <v>327</v>
      </c>
      <c r="E84" s="573" t="s">
        <v>120</v>
      </c>
      <c r="F84" s="593" t="s">
        <v>361</v>
      </c>
      <c r="G84" s="62" t="s">
        <v>150</v>
      </c>
      <c r="H84" s="81">
        <v>64</v>
      </c>
      <c r="I84" s="8">
        <v>72</v>
      </c>
      <c r="J84" s="86">
        <v>81</v>
      </c>
      <c r="K84" s="62">
        <f t="shared" si="11"/>
        <v>217</v>
      </c>
      <c r="L84" s="95">
        <v>83</v>
      </c>
      <c r="M84" s="82">
        <v>85</v>
      </c>
      <c r="N84" s="8">
        <v>83</v>
      </c>
      <c r="O84" s="62">
        <f t="shared" si="12"/>
        <v>251</v>
      </c>
      <c r="P84" s="970">
        <f t="shared" si="13"/>
        <v>468</v>
      </c>
    </row>
    <row r="85" spans="1:18" ht="17.100000000000001" customHeight="1" x14ac:dyDescent="0.3">
      <c r="B85" s="767" t="s">
        <v>230</v>
      </c>
      <c r="C85" s="673" t="s">
        <v>128</v>
      </c>
      <c r="D85" s="591">
        <v>1150</v>
      </c>
      <c r="E85" s="573" t="s">
        <v>120</v>
      </c>
      <c r="F85" s="593" t="s">
        <v>361</v>
      </c>
      <c r="G85" s="62" t="s">
        <v>150</v>
      </c>
      <c r="H85" s="81">
        <v>79</v>
      </c>
      <c r="I85" s="8">
        <v>80</v>
      </c>
      <c r="J85" s="86">
        <v>69</v>
      </c>
      <c r="K85" s="62">
        <f t="shared" si="11"/>
        <v>228</v>
      </c>
      <c r="L85" s="95">
        <v>70</v>
      </c>
      <c r="M85" s="82">
        <v>80</v>
      </c>
      <c r="N85" s="8">
        <v>81</v>
      </c>
      <c r="O85" s="62">
        <f t="shared" si="12"/>
        <v>231</v>
      </c>
      <c r="P85" s="970">
        <f t="shared" si="13"/>
        <v>459</v>
      </c>
    </row>
    <row r="86" spans="1:18" ht="16.8" customHeight="1" x14ac:dyDescent="0.3">
      <c r="B86" s="763" t="s">
        <v>234</v>
      </c>
      <c r="C86" s="696" t="s">
        <v>298</v>
      </c>
      <c r="D86" s="129">
        <v>1890</v>
      </c>
      <c r="E86" s="573" t="s">
        <v>120</v>
      </c>
      <c r="F86" s="593" t="s">
        <v>361</v>
      </c>
      <c r="G86" s="62" t="s">
        <v>150</v>
      </c>
      <c r="H86" s="81">
        <v>78</v>
      </c>
      <c r="I86" s="8">
        <v>81</v>
      </c>
      <c r="J86" s="86">
        <v>80</v>
      </c>
      <c r="K86" s="62">
        <f t="shared" si="11"/>
        <v>239</v>
      </c>
      <c r="L86" s="95">
        <v>73</v>
      </c>
      <c r="M86" s="82">
        <v>69</v>
      </c>
      <c r="N86" s="8">
        <v>71</v>
      </c>
      <c r="O86" s="62">
        <f t="shared" si="12"/>
        <v>213</v>
      </c>
      <c r="P86" s="970">
        <f t="shared" si="13"/>
        <v>452</v>
      </c>
      <c r="Q86" s="196"/>
    </row>
    <row r="87" spans="1:18" ht="17.100000000000001" customHeight="1" x14ac:dyDescent="0.3">
      <c r="B87" s="972" t="s">
        <v>300</v>
      </c>
      <c r="C87" s="973" t="s">
        <v>157</v>
      </c>
      <c r="D87" s="128">
        <v>1927</v>
      </c>
      <c r="E87" s="724" t="s">
        <v>120</v>
      </c>
      <c r="F87" s="593" t="s">
        <v>361</v>
      </c>
      <c r="G87" s="61" t="s">
        <v>150</v>
      </c>
      <c r="H87" s="87">
        <v>65</v>
      </c>
      <c r="I87" s="25">
        <v>63</v>
      </c>
      <c r="J87" s="88">
        <v>67</v>
      </c>
      <c r="K87" s="62">
        <f t="shared" si="11"/>
        <v>195</v>
      </c>
      <c r="L87" s="95">
        <v>81</v>
      </c>
      <c r="M87" s="82">
        <v>86</v>
      </c>
      <c r="N87" s="8">
        <v>77</v>
      </c>
      <c r="O87" s="62">
        <f t="shared" si="12"/>
        <v>244</v>
      </c>
      <c r="P87" s="970">
        <f t="shared" si="13"/>
        <v>439</v>
      </c>
      <c r="Q87" s="196"/>
    </row>
    <row r="88" spans="1:18" ht="17.100000000000001" customHeight="1" thickBot="1" x14ac:dyDescent="0.35">
      <c r="B88" s="773" t="s">
        <v>232</v>
      </c>
      <c r="C88" s="674" t="s">
        <v>363</v>
      </c>
      <c r="D88" s="189" t="s">
        <v>328</v>
      </c>
      <c r="E88" s="563" t="s">
        <v>120</v>
      </c>
      <c r="F88" s="909" t="s">
        <v>361</v>
      </c>
      <c r="G88" s="59" t="s">
        <v>150</v>
      </c>
      <c r="H88" s="139">
        <v>64</v>
      </c>
      <c r="I88" s="26">
        <v>73</v>
      </c>
      <c r="J88" s="140">
        <v>69</v>
      </c>
      <c r="K88" s="59">
        <f t="shared" si="11"/>
        <v>206</v>
      </c>
      <c r="L88" s="37">
        <v>82</v>
      </c>
      <c r="M88" s="6">
        <v>67</v>
      </c>
      <c r="N88" s="26">
        <v>82</v>
      </c>
      <c r="O88" s="59">
        <f t="shared" si="12"/>
        <v>231</v>
      </c>
      <c r="P88" s="525">
        <f t="shared" si="13"/>
        <v>437</v>
      </c>
      <c r="Q88" s="196"/>
    </row>
    <row r="89" spans="1:18" ht="27" customHeight="1" thickBot="1" x14ac:dyDescent="0.35">
      <c r="B89" s="967">
        <f>COUNTA(B78:B88)</f>
        <v>10</v>
      </c>
      <c r="C89" s="1248" t="s">
        <v>117</v>
      </c>
      <c r="D89" s="1249"/>
      <c r="E89" s="1249"/>
      <c r="F89" s="1249"/>
      <c r="G89" s="1249"/>
      <c r="H89" s="1249"/>
      <c r="I89" s="1249"/>
      <c r="J89" s="1250"/>
      <c r="L89" s="100"/>
    </row>
    <row r="91" spans="1:18" ht="16.2" thickBot="1" x14ac:dyDescent="0.35"/>
    <row r="92" spans="1:18" ht="25.5" customHeight="1" thickBot="1" x14ac:dyDescent="0.35">
      <c r="C92" s="1227" t="s">
        <v>12</v>
      </c>
      <c r="D92" s="1228"/>
      <c r="E92" s="1228"/>
      <c r="F92" s="1228"/>
      <c r="G92" s="1228"/>
      <c r="H92" s="1228"/>
      <c r="I92" s="1228"/>
      <c r="J92" s="1228"/>
      <c r="K92" s="1228"/>
      <c r="L92" s="1229"/>
      <c r="M92" s="434" t="s">
        <v>58</v>
      </c>
      <c r="N92" s="1225" t="s">
        <v>188</v>
      </c>
      <c r="O92" s="1226"/>
      <c r="P92" s="590">
        <v>600</v>
      </c>
    </row>
    <row r="93" spans="1:18" ht="29.1" customHeight="1" thickBot="1" x14ac:dyDescent="0.35">
      <c r="B93" s="779" t="s">
        <v>154</v>
      </c>
      <c r="C93" s="664" t="s">
        <v>0</v>
      </c>
      <c r="D93" s="444" t="s">
        <v>1</v>
      </c>
      <c r="E93" s="349" t="s">
        <v>2</v>
      </c>
      <c r="F93" s="194" t="s">
        <v>108</v>
      </c>
      <c r="G93" s="500" t="s">
        <v>153</v>
      </c>
      <c r="H93" s="80" t="s">
        <v>3</v>
      </c>
      <c r="I93" s="107" t="s">
        <v>4</v>
      </c>
      <c r="J93" s="107" t="s">
        <v>5</v>
      </c>
      <c r="K93" s="107" t="s">
        <v>6</v>
      </c>
      <c r="L93" s="107" t="s">
        <v>7</v>
      </c>
      <c r="M93" s="107" t="s">
        <v>8</v>
      </c>
      <c r="N93" s="141" t="s">
        <v>9</v>
      </c>
      <c r="O93" s="456" t="s">
        <v>79</v>
      </c>
      <c r="P93" s="419" t="s">
        <v>61</v>
      </c>
    </row>
    <row r="94" spans="1:18" ht="18" customHeight="1" thickBot="1" x14ac:dyDescent="0.35">
      <c r="A94" s="10"/>
      <c r="B94" s="772" t="s">
        <v>236</v>
      </c>
      <c r="C94" s="657" t="s">
        <v>139</v>
      </c>
      <c r="D94" s="28">
        <v>1942</v>
      </c>
      <c r="E94" s="353" t="s">
        <v>15</v>
      </c>
      <c r="F94" s="174"/>
      <c r="G94" s="501" t="s">
        <v>150</v>
      </c>
      <c r="H94" s="18">
        <v>85</v>
      </c>
      <c r="I94" s="5">
        <v>90</v>
      </c>
      <c r="J94" s="5">
        <v>88</v>
      </c>
      <c r="K94" s="5">
        <v>90</v>
      </c>
      <c r="L94" s="32">
        <v>90</v>
      </c>
      <c r="M94" s="110">
        <v>86</v>
      </c>
      <c r="N94" s="108">
        <f>SUM($H94:$M94)</f>
        <v>529</v>
      </c>
      <c r="O94" s="448" t="str">
        <f>IF(N94&gt;549,"Yes","NO")</f>
        <v>NO</v>
      </c>
      <c r="P94" s="635" t="str">
        <f>IF(O94="Yes"," M","")</f>
        <v/>
      </c>
    </row>
    <row r="95" spans="1:18" ht="17.100000000000001" customHeight="1" thickBot="1" x14ac:dyDescent="0.35">
      <c r="B95" s="781" t="s">
        <v>315</v>
      </c>
      <c r="C95" s="668" t="s">
        <v>316</v>
      </c>
      <c r="D95" s="71" t="s">
        <v>245</v>
      </c>
      <c r="E95" s="444" t="s">
        <v>17</v>
      </c>
      <c r="F95" s="174" t="s">
        <v>376</v>
      </c>
      <c r="G95" s="1075" t="s">
        <v>152</v>
      </c>
      <c r="H95" s="18">
        <v>92</v>
      </c>
      <c r="I95" s="5">
        <v>84</v>
      </c>
      <c r="J95" s="5">
        <v>82</v>
      </c>
      <c r="K95" s="5">
        <v>89</v>
      </c>
      <c r="L95" s="32">
        <v>82</v>
      </c>
      <c r="M95" s="110">
        <v>85</v>
      </c>
      <c r="N95" s="108">
        <f>SUM($H95:$M95)</f>
        <v>514</v>
      </c>
      <c r="O95" s="448" t="str">
        <f>IF(N95&gt;479,"Yes","NO")</f>
        <v>Yes</v>
      </c>
      <c r="P95" s="635" t="str">
        <f>IF(O95="Yes"," S","")</f>
        <v xml:space="preserve"> S</v>
      </c>
    </row>
    <row r="96" spans="1:18" ht="17.100000000000001" customHeight="1" thickBot="1" x14ac:dyDescent="0.35">
      <c r="B96" s="781" t="s">
        <v>312</v>
      </c>
      <c r="C96" s="659" t="s">
        <v>313</v>
      </c>
      <c r="D96" s="110">
        <v>1143</v>
      </c>
      <c r="E96" s="353" t="s">
        <v>17</v>
      </c>
      <c r="G96" s="717" t="s">
        <v>152</v>
      </c>
      <c r="H96" s="18">
        <v>80</v>
      </c>
      <c r="I96" s="5">
        <v>79</v>
      </c>
      <c r="J96" s="5">
        <v>68</v>
      </c>
      <c r="K96" s="5">
        <v>71</v>
      </c>
      <c r="L96" s="32">
        <v>82</v>
      </c>
      <c r="M96" s="110">
        <v>78</v>
      </c>
      <c r="N96" s="1093">
        <f>SUM($H96:$M96)</f>
        <v>458</v>
      </c>
      <c r="O96" s="1094" t="str">
        <f>IF(N96&gt;479,"Yes","NO")</f>
        <v>NO</v>
      </c>
      <c r="P96" s="1095" t="str">
        <f>IF(O96="Yes"," S","")</f>
        <v/>
      </c>
    </row>
    <row r="97" spans="2:17" ht="30" customHeight="1" thickTop="1" thickBot="1" x14ac:dyDescent="0.35">
      <c r="B97" s="967">
        <f>COUNTA(B95:B96)</f>
        <v>2</v>
      </c>
      <c r="C97" s="676" t="s">
        <v>64</v>
      </c>
      <c r="D97" s="1271" t="s">
        <v>99</v>
      </c>
      <c r="E97" s="1272"/>
      <c r="F97" s="1272"/>
      <c r="G97" s="1272"/>
      <c r="H97" s="1272"/>
      <c r="I97" s="1272"/>
      <c r="J97" s="1272"/>
      <c r="K97" s="1272"/>
      <c r="L97" s="1272"/>
      <c r="M97" s="1273"/>
      <c r="P97" s="46"/>
      <c r="Q97" s="46"/>
    </row>
    <row r="98" spans="2:17" ht="16.2" thickBot="1" x14ac:dyDescent="0.35">
      <c r="D98" s="10"/>
      <c r="E98" s="352"/>
      <c r="G98" s="352"/>
      <c r="H98" s="10"/>
      <c r="I98" s="10"/>
      <c r="J98" s="10"/>
      <c r="K98" s="10"/>
      <c r="L98" s="10"/>
      <c r="M98" s="10"/>
    </row>
    <row r="99" spans="2:17" ht="25.2" customHeight="1" thickBot="1" x14ac:dyDescent="0.35">
      <c r="C99" s="1267" t="s">
        <v>119</v>
      </c>
      <c r="D99" s="1190"/>
      <c r="E99" s="1190"/>
      <c r="F99" s="1190"/>
      <c r="G99" s="1190"/>
      <c r="H99" s="1190"/>
      <c r="I99" s="1190"/>
      <c r="J99" s="1190"/>
      <c r="K99" s="1191"/>
      <c r="L99" s="434" t="s">
        <v>125</v>
      </c>
      <c r="N99" s="1225" t="s">
        <v>188</v>
      </c>
      <c r="O99" s="1226"/>
      <c r="P99" s="590">
        <v>600</v>
      </c>
    </row>
    <row r="100" spans="2:17" ht="28.2" thickBot="1" x14ac:dyDescent="0.35">
      <c r="B100" s="780" t="s">
        <v>154</v>
      </c>
      <c r="C100" s="677" t="s">
        <v>0</v>
      </c>
      <c r="D100" s="193" t="s">
        <v>1</v>
      </c>
      <c r="E100" s="349" t="s">
        <v>2</v>
      </c>
      <c r="F100" s="194" t="s">
        <v>108</v>
      </c>
      <c r="G100" s="503" t="s">
        <v>153</v>
      </c>
      <c r="H100" s="85" t="s">
        <v>3</v>
      </c>
      <c r="I100" s="16" t="s">
        <v>4</v>
      </c>
      <c r="J100" s="16" t="s">
        <v>5</v>
      </c>
      <c r="K100" s="16" t="s">
        <v>6</v>
      </c>
      <c r="L100" s="16" t="s">
        <v>7</v>
      </c>
      <c r="M100" s="16" t="s">
        <v>8</v>
      </c>
      <c r="N100" s="73" t="s">
        <v>84</v>
      </c>
      <c r="O100" s="457" t="s">
        <v>79</v>
      </c>
      <c r="P100" s="319" t="s">
        <v>61</v>
      </c>
    </row>
    <row r="101" spans="2:17" ht="17.100000000000001" customHeight="1" x14ac:dyDescent="0.3">
      <c r="B101" s="769" t="s">
        <v>237</v>
      </c>
      <c r="C101" s="696" t="s">
        <v>332</v>
      </c>
      <c r="D101" s="69">
        <v>1332</v>
      </c>
      <c r="E101" s="373" t="s">
        <v>15</v>
      </c>
      <c r="F101" s="315"/>
      <c r="G101" s="491" t="s">
        <v>150</v>
      </c>
      <c r="H101" s="95">
        <v>91</v>
      </c>
      <c r="I101" s="82">
        <v>87</v>
      </c>
      <c r="J101" s="82">
        <v>86</v>
      </c>
      <c r="K101" s="82">
        <v>87</v>
      </c>
      <c r="L101" s="82">
        <v>87</v>
      </c>
      <c r="M101" s="8">
        <v>85</v>
      </c>
      <c r="N101" s="167">
        <f>SUM($H101:$M101)</f>
        <v>523</v>
      </c>
      <c r="O101" s="477" t="str">
        <f>IF(N101&gt;529,"Yes","NO")</f>
        <v>NO</v>
      </c>
      <c r="P101" s="636" t="str">
        <f>IF(O101="Yes"," M","")</f>
        <v/>
      </c>
    </row>
    <row r="102" spans="2:17" ht="17.100000000000001" customHeight="1" x14ac:dyDescent="0.3">
      <c r="B102" s="770" t="s">
        <v>231</v>
      </c>
      <c r="C102" s="973" t="s">
        <v>132</v>
      </c>
      <c r="D102" s="44">
        <v>1506</v>
      </c>
      <c r="E102" s="375" t="s">
        <v>15</v>
      </c>
      <c r="F102" s="1041" t="s">
        <v>376</v>
      </c>
      <c r="G102" s="1007" t="s">
        <v>150</v>
      </c>
      <c r="H102" s="36">
        <v>85</v>
      </c>
      <c r="I102" s="1">
        <v>81</v>
      </c>
      <c r="J102" s="1">
        <v>83</v>
      </c>
      <c r="K102" s="1">
        <v>71</v>
      </c>
      <c r="L102" s="1">
        <v>78</v>
      </c>
      <c r="M102" s="1">
        <v>71</v>
      </c>
      <c r="N102" s="1086">
        <f>SUM($H102:$M102)</f>
        <v>469</v>
      </c>
      <c r="O102" s="477" t="str">
        <f>IF(N102&gt;559,"Yes","NO")</f>
        <v>NO</v>
      </c>
      <c r="P102" s="611" t="str">
        <f>IF(O102="Yes","M","")</f>
        <v/>
      </c>
    </row>
    <row r="103" spans="2:17" ht="17.100000000000001" customHeight="1" thickBot="1" x14ac:dyDescent="0.35">
      <c r="B103" s="764" t="s">
        <v>36</v>
      </c>
      <c r="C103" s="688" t="s">
        <v>299</v>
      </c>
      <c r="D103" s="176" t="s">
        <v>244</v>
      </c>
      <c r="E103" s="348" t="s">
        <v>15</v>
      </c>
      <c r="F103" s="595"/>
      <c r="G103" s="59" t="s">
        <v>150</v>
      </c>
      <c r="H103" s="37">
        <v>77</v>
      </c>
      <c r="I103" s="6">
        <v>65</v>
      </c>
      <c r="J103" s="6">
        <v>69</v>
      </c>
      <c r="K103" s="6">
        <v>70</v>
      </c>
      <c r="L103" s="6">
        <v>81</v>
      </c>
      <c r="M103" s="26">
        <v>69</v>
      </c>
      <c r="N103" s="154">
        <f>SUM($H103:$M103)</f>
        <v>431</v>
      </c>
      <c r="O103" s="382" t="str">
        <f>IF(N103&gt;529,"Yes","NO")</f>
        <v>NO</v>
      </c>
      <c r="P103" s="1092" t="str">
        <f>IF(O103="Yes"," M","")</f>
        <v/>
      </c>
    </row>
    <row r="104" spans="2:17" ht="17.100000000000001" customHeight="1" thickBot="1" x14ac:dyDescent="0.35">
      <c r="B104" s="768" t="s">
        <v>315</v>
      </c>
      <c r="C104" s="695" t="s">
        <v>316</v>
      </c>
      <c r="D104" s="110" t="s">
        <v>245</v>
      </c>
      <c r="E104" s="747" t="s">
        <v>17</v>
      </c>
      <c r="F104" s="315"/>
      <c r="G104" s="690" t="s">
        <v>152</v>
      </c>
      <c r="H104" s="18">
        <v>92</v>
      </c>
      <c r="I104" s="5">
        <v>84</v>
      </c>
      <c r="J104" s="5">
        <v>82</v>
      </c>
      <c r="K104" s="5">
        <v>89</v>
      </c>
      <c r="L104" s="32">
        <v>82</v>
      </c>
      <c r="M104" s="110">
        <v>85</v>
      </c>
      <c r="N104" s="108">
        <f>SUM($H104:$M104)</f>
        <v>514</v>
      </c>
      <c r="O104" s="448" t="str">
        <f>IF(N104&gt;479,"Yes","NO")</f>
        <v>Yes</v>
      </c>
      <c r="P104" s="635" t="str">
        <f>IF(O104="Yes"," S","")</f>
        <v xml:space="preserve"> S</v>
      </c>
    </row>
    <row r="105" spans="2:17" ht="17.100000000000001" customHeight="1" thickBot="1" x14ac:dyDescent="0.35">
      <c r="B105" s="773"/>
      <c r="C105" s="688" t="s">
        <v>251</v>
      </c>
      <c r="D105" s="29">
        <v>1254</v>
      </c>
      <c r="E105" s="371" t="s">
        <v>17</v>
      </c>
      <c r="F105" s="316"/>
      <c r="G105" s="1010" t="s">
        <v>150</v>
      </c>
      <c r="H105" s="139">
        <v>80</v>
      </c>
      <c r="I105" s="6">
        <v>77</v>
      </c>
      <c r="J105" s="6">
        <v>82</v>
      </c>
      <c r="K105" s="6">
        <v>78</v>
      </c>
      <c r="L105" s="6">
        <v>83</v>
      </c>
      <c r="M105" s="6">
        <v>81</v>
      </c>
      <c r="N105" s="154">
        <f t="shared" ref="N105" si="14">SUM($H105:$M105)</f>
        <v>481</v>
      </c>
      <c r="O105" s="402" t="str">
        <f>IF(N105&gt;479,"Yes","NO")</f>
        <v>Yes</v>
      </c>
      <c r="P105" s="627" t="str">
        <f>IF(O105="Yes"," S","")</f>
        <v xml:space="preserve"> S</v>
      </c>
    </row>
    <row r="106" spans="2:17" ht="24" customHeight="1" thickBot="1" x14ac:dyDescent="0.35">
      <c r="B106" s="967">
        <f>COUNTA(B101:B105)</f>
        <v>4</v>
      </c>
      <c r="C106" s="676" t="s">
        <v>64</v>
      </c>
      <c r="D106" s="1257" t="s">
        <v>121</v>
      </c>
      <c r="E106" s="1258"/>
      <c r="F106" s="1258"/>
      <c r="G106" s="1258"/>
      <c r="H106" s="1258"/>
      <c r="I106" s="1258"/>
      <c r="J106" s="1258"/>
      <c r="K106" s="1258"/>
      <c r="L106" s="1258"/>
      <c r="M106" s="1259"/>
      <c r="P106" s="20" t="s">
        <v>10</v>
      </c>
    </row>
    <row r="107" spans="2:17" ht="17.25" customHeight="1" thickBot="1" x14ac:dyDescent="0.35">
      <c r="C107" s="675"/>
      <c r="D107" s="441"/>
      <c r="E107" s="442"/>
      <c r="F107" s="442"/>
      <c r="G107" s="441"/>
      <c r="H107" s="442"/>
      <c r="I107" s="442"/>
      <c r="J107" s="442"/>
      <c r="K107" s="442"/>
      <c r="L107" s="442"/>
      <c r="M107" s="442"/>
    </row>
    <row r="108" spans="2:17" ht="25.5" customHeight="1" thickBot="1" x14ac:dyDescent="0.35">
      <c r="C108" s="1189" t="s">
        <v>383</v>
      </c>
      <c r="D108" s="1190"/>
      <c r="E108" s="1190"/>
      <c r="F108" s="1190"/>
      <c r="G108" s="1190"/>
      <c r="H108" s="1190"/>
      <c r="I108" s="1190"/>
      <c r="J108" s="1190"/>
      <c r="K108" s="1191"/>
      <c r="L108" s="434" t="s">
        <v>125</v>
      </c>
      <c r="N108" s="1225" t="s">
        <v>188</v>
      </c>
      <c r="O108" s="1226"/>
      <c r="P108" s="590">
        <v>600</v>
      </c>
    </row>
    <row r="109" spans="2:17" ht="29.25" customHeight="1" thickBot="1" x14ac:dyDescent="0.35">
      <c r="B109" s="780" t="s">
        <v>154</v>
      </c>
      <c r="C109" s="670" t="s">
        <v>0</v>
      </c>
      <c r="D109" s="96" t="s">
        <v>1</v>
      </c>
      <c r="E109" s="351" t="s">
        <v>2</v>
      </c>
      <c r="F109" s="885" t="s">
        <v>108</v>
      </c>
      <c r="G109" s="344" t="s">
        <v>153</v>
      </c>
      <c r="H109" s="815" t="s">
        <v>3</v>
      </c>
      <c r="I109" s="107" t="s">
        <v>4</v>
      </c>
      <c r="J109" s="107" t="s">
        <v>5</v>
      </c>
      <c r="K109" s="107" t="s">
        <v>6</v>
      </c>
      <c r="L109" s="107" t="s">
        <v>7</v>
      </c>
      <c r="M109" s="107" t="s">
        <v>8</v>
      </c>
      <c r="N109" s="73" t="s">
        <v>84</v>
      </c>
      <c r="O109" s="457" t="s">
        <v>79</v>
      </c>
      <c r="P109" s="319" t="s">
        <v>61</v>
      </c>
    </row>
    <row r="110" spans="2:17" ht="17.25" customHeight="1" thickBot="1" x14ac:dyDescent="0.35">
      <c r="B110" s="781" t="s">
        <v>324</v>
      </c>
      <c r="C110" s="659" t="s">
        <v>325</v>
      </c>
      <c r="D110" s="110">
        <v>1929</v>
      </c>
      <c r="E110" s="819" t="s">
        <v>15</v>
      </c>
      <c r="F110" s="315"/>
      <c r="G110" s="914"/>
      <c r="H110" s="18">
        <v>82</v>
      </c>
      <c r="I110" s="5">
        <v>93</v>
      </c>
      <c r="J110" s="5">
        <v>91</v>
      </c>
      <c r="K110" s="5">
        <v>86</v>
      </c>
      <c r="L110" s="5">
        <v>92</v>
      </c>
      <c r="M110" s="98">
        <v>86</v>
      </c>
      <c r="N110" s="749">
        <f t="shared" ref="N110" si="15">SUM($H110:$M110)</f>
        <v>530</v>
      </c>
      <c r="O110" s="450" t="str">
        <f>IF(N110&gt;529,"Yes","NO")</f>
        <v>Yes</v>
      </c>
      <c r="P110" s="627" t="str">
        <f>IF(O110="Yes"," M","")</f>
        <v xml:space="preserve"> M</v>
      </c>
    </row>
    <row r="111" spans="2:17" ht="17.25" customHeight="1" x14ac:dyDescent="0.3">
      <c r="B111" s="769" t="s">
        <v>166</v>
      </c>
      <c r="C111" s="661" t="s">
        <v>204</v>
      </c>
      <c r="D111" s="43">
        <v>2013</v>
      </c>
      <c r="E111" s="317" t="s">
        <v>17</v>
      </c>
      <c r="F111" s="314"/>
      <c r="G111" s="919" t="s">
        <v>150</v>
      </c>
      <c r="H111" s="137">
        <v>80</v>
      </c>
      <c r="I111" s="2">
        <v>83</v>
      </c>
      <c r="J111" s="2">
        <v>75</v>
      </c>
      <c r="K111" s="2">
        <v>75</v>
      </c>
      <c r="L111" s="2">
        <v>84</v>
      </c>
      <c r="M111" s="138">
        <v>80</v>
      </c>
      <c r="N111" s="751">
        <f>SUM($H111:$M111)</f>
        <v>477</v>
      </c>
      <c r="O111" s="452" t="str">
        <f>IF(N111&gt;479,"Yes","NO")</f>
        <v>NO</v>
      </c>
      <c r="P111" s="639" t="str">
        <f>IF(O111="Yes"," S","")</f>
        <v/>
      </c>
    </row>
    <row r="112" spans="2:17" ht="17.25" customHeight="1" x14ac:dyDescent="0.3">
      <c r="B112" s="767" t="s">
        <v>323</v>
      </c>
      <c r="C112" s="696" t="s">
        <v>128</v>
      </c>
      <c r="D112" s="69">
        <v>1150</v>
      </c>
      <c r="E112" s="1051" t="s">
        <v>17</v>
      </c>
      <c r="F112" s="321"/>
      <c r="G112" s="1052" t="s">
        <v>150</v>
      </c>
      <c r="H112" s="81">
        <v>80</v>
      </c>
      <c r="I112" s="82">
        <v>75</v>
      </c>
      <c r="J112" s="82">
        <v>78</v>
      </c>
      <c r="K112" s="82">
        <v>66</v>
      </c>
      <c r="L112" s="82">
        <v>74</v>
      </c>
      <c r="M112" s="82">
        <v>84</v>
      </c>
      <c r="N112" s="168">
        <f>SUM($H112:$M112)</f>
        <v>457</v>
      </c>
      <c r="O112" s="452" t="str">
        <f>IF(N112&gt;479,"Yes","NO")</f>
        <v>NO</v>
      </c>
      <c r="P112" s="639" t="str">
        <f>IF(O112="Yes"," S","")</f>
        <v/>
      </c>
    </row>
    <row r="113" spans="2:16" ht="17.25" customHeight="1" x14ac:dyDescent="0.3">
      <c r="B113" s="767" t="s">
        <v>78</v>
      </c>
      <c r="C113" s="666" t="s">
        <v>326</v>
      </c>
      <c r="D113" s="69" t="s">
        <v>245</v>
      </c>
      <c r="E113" s="389" t="s">
        <v>17</v>
      </c>
      <c r="F113" s="320"/>
      <c r="G113" s="753" t="s">
        <v>150</v>
      </c>
      <c r="H113" s="81">
        <v>78</v>
      </c>
      <c r="I113" s="82">
        <v>75</v>
      </c>
      <c r="J113" s="82">
        <v>77</v>
      </c>
      <c r="K113" s="82">
        <v>82</v>
      </c>
      <c r="L113" s="82">
        <v>68</v>
      </c>
      <c r="M113" s="86">
        <v>70</v>
      </c>
      <c r="N113" s="748">
        <f>SUM($H113:$M113)</f>
        <v>450</v>
      </c>
      <c r="O113" s="452" t="str">
        <f>IF(N113&gt;479,"Yes","NO")</f>
        <v>NO</v>
      </c>
      <c r="P113" s="639" t="str">
        <f>IF(O113="Yes"," S","")</f>
        <v/>
      </c>
    </row>
    <row r="114" spans="2:16" ht="17.25" customHeight="1" x14ac:dyDescent="0.3">
      <c r="B114" s="767" t="s">
        <v>232</v>
      </c>
      <c r="C114" s="666" t="s">
        <v>365</v>
      </c>
      <c r="D114" s="69" t="s">
        <v>328</v>
      </c>
      <c r="E114" s="913" t="s">
        <v>17</v>
      </c>
      <c r="F114" s="320"/>
      <c r="G114" s="753" t="s">
        <v>150</v>
      </c>
      <c r="H114" s="81">
        <v>81</v>
      </c>
      <c r="I114" s="82">
        <v>81</v>
      </c>
      <c r="J114" s="82">
        <v>60</v>
      </c>
      <c r="K114" s="82">
        <v>73</v>
      </c>
      <c r="L114" s="82">
        <v>59</v>
      </c>
      <c r="M114" s="86">
        <v>82</v>
      </c>
      <c r="N114" s="748">
        <f>SUM($H114:$M114)</f>
        <v>436</v>
      </c>
      <c r="O114" s="452" t="str">
        <f>IF(N114&gt;479,"Yes","NO")</f>
        <v>NO</v>
      </c>
      <c r="P114" s="639" t="str">
        <f>IF(O114="Yes"," S","")</f>
        <v/>
      </c>
    </row>
    <row r="115" spans="2:16" ht="17.25" customHeight="1" thickBot="1" x14ac:dyDescent="0.35">
      <c r="B115" s="773" t="s">
        <v>300</v>
      </c>
      <c r="C115" s="660" t="s">
        <v>157</v>
      </c>
      <c r="D115" s="29">
        <v>1927</v>
      </c>
      <c r="E115" s="404" t="s">
        <v>17</v>
      </c>
      <c r="F115" s="316"/>
      <c r="G115" s="754" t="s">
        <v>150</v>
      </c>
      <c r="H115" s="139">
        <v>85</v>
      </c>
      <c r="I115" s="6">
        <v>78</v>
      </c>
      <c r="J115" s="6">
        <v>66</v>
      </c>
      <c r="K115" s="6">
        <v>78</v>
      </c>
      <c r="L115" s="6">
        <v>72</v>
      </c>
      <c r="M115" s="140">
        <v>75</v>
      </c>
      <c r="N115" s="750">
        <f>SUM($H115:$M115)</f>
        <v>454</v>
      </c>
      <c r="O115" s="402" t="str">
        <f>IF(N115&gt;479,"Yes","NO")</f>
        <v>NO</v>
      </c>
      <c r="P115" s="627" t="str">
        <f>IF(O115="Yes"," S","")</f>
        <v/>
      </c>
    </row>
    <row r="116" spans="2:16" ht="17.25" customHeight="1" thickBot="1" x14ac:dyDescent="0.35">
      <c r="B116" s="967">
        <f>COUNTA(B110:B115)</f>
        <v>6</v>
      </c>
      <c r="C116" s="675"/>
      <c r="D116" s="441"/>
      <c r="E116" s="442"/>
      <c r="F116" s="442"/>
      <c r="G116" s="441"/>
      <c r="H116" s="442"/>
      <c r="I116" s="442"/>
      <c r="J116" s="442"/>
      <c r="K116" s="442"/>
      <c r="L116" s="442"/>
      <c r="M116" s="442"/>
    </row>
    <row r="117" spans="2:16" ht="17.25" customHeight="1" thickBot="1" x14ac:dyDescent="0.35">
      <c r="B117" s="979"/>
      <c r="C117" s="675"/>
      <c r="D117" s="441"/>
      <c r="E117" s="442"/>
      <c r="F117" s="442"/>
      <c r="G117" s="441"/>
      <c r="H117" s="442"/>
      <c r="I117" s="442"/>
      <c r="J117" s="442"/>
      <c r="K117" s="442"/>
      <c r="L117" s="442"/>
      <c r="M117" s="442"/>
    </row>
    <row r="118" spans="2:16" ht="25.5" customHeight="1" thickBot="1" x14ac:dyDescent="0.35">
      <c r="C118" s="1201" t="s">
        <v>113</v>
      </c>
      <c r="D118" s="1202"/>
      <c r="E118" s="1202"/>
      <c r="F118" s="1202"/>
      <c r="G118" s="1202"/>
      <c r="H118" s="1202"/>
      <c r="I118" s="1202"/>
      <c r="J118" s="1202"/>
      <c r="K118" s="1203"/>
      <c r="L118" s="434" t="s">
        <v>126</v>
      </c>
    </row>
    <row r="119" spans="2:16" ht="24" hidden="1" customHeight="1" thickBot="1" x14ac:dyDescent="0.35">
      <c r="B119" s="780" t="s">
        <v>154</v>
      </c>
      <c r="C119" s="677" t="s">
        <v>0</v>
      </c>
      <c r="D119" s="193" t="s">
        <v>1</v>
      </c>
      <c r="E119" s="349" t="s">
        <v>2</v>
      </c>
      <c r="F119" s="194" t="s">
        <v>108</v>
      </c>
      <c r="G119" s="503" t="s">
        <v>153</v>
      </c>
      <c r="H119" s="85" t="s">
        <v>3</v>
      </c>
      <c r="I119" s="16" t="s">
        <v>4</v>
      </c>
      <c r="J119" s="16" t="s">
        <v>5</v>
      </c>
      <c r="K119" s="16" t="s">
        <v>6</v>
      </c>
      <c r="L119" s="16" t="s">
        <v>7</v>
      </c>
      <c r="M119" s="16" t="s">
        <v>8</v>
      </c>
      <c r="N119" s="73" t="s">
        <v>84</v>
      </c>
      <c r="O119" s="457" t="s">
        <v>79</v>
      </c>
      <c r="P119" s="319" t="s">
        <v>61</v>
      </c>
    </row>
    <row r="120" spans="2:16" ht="17.25" hidden="1" customHeight="1" thickBot="1" x14ac:dyDescent="0.35">
      <c r="B120" s="781"/>
      <c r="C120" s="678"/>
      <c r="D120" s="191"/>
      <c r="E120" s="350" t="s">
        <v>14</v>
      </c>
      <c r="F120" s="190"/>
      <c r="G120" s="503"/>
      <c r="H120" s="93"/>
      <c r="I120" s="12"/>
      <c r="J120" s="12"/>
      <c r="K120" s="12"/>
      <c r="L120" s="12"/>
      <c r="M120" s="12"/>
      <c r="N120" s="156">
        <f>SUM($H120:$M120)</f>
        <v>0</v>
      </c>
      <c r="O120" s="1199"/>
      <c r="P120" s="1200"/>
    </row>
    <row r="121" spans="2:16" ht="17.25" hidden="1" customHeight="1" x14ac:dyDescent="0.3">
      <c r="B121" s="769"/>
      <c r="D121" s="192"/>
      <c r="E121" s="353" t="s">
        <v>15</v>
      </c>
      <c r="F121" s="315"/>
      <c r="G121" s="504"/>
      <c r="H121" s="94"/>
      <c r="I121" s="3"/>
      <c r="J121" s="3"/>
      <c r="K121" s="3"/>
      <c r="L121" s="3"/>
      <c r="M121" s="3"/>
      <c r="N121" s="167">
        <f>SUM($H121:$M121)</f>
        <v>0</v>
      </c>
      <c r="O121" s="477" t="str">
        <f>IF(N121&gt;529,"Yes","NO")</f>
        <v>NO</v>
      </c>
      <c r="P121" s="185" t="str">
        <f>IF(O121="Yes"," M","")</f>
        <v/>
      </c>
    </row>
    <row r="122" spans="2:16" ht="17.25" hidden="1" customHeight="1" thickBot="1" x14ac:dyDescent="0.35">
      <c r="B122" s="773"/>
      <c r="C122" s="660"/>
      <c r="D122" s="29"/>
      <c r="E122" s="348" t="s">
        <v>15</v>
      </c>
      <c r="F122" s="316"/>
      <c r="G122" s="502"/>
      <c r="H122" s="139"/>
      <c r="I122" s="6"/>
      <c r="J122" s="6"/>
      <c r="K122" s="6"/>
      <c r="L122" s="6"/>
      <c r="M122" s="6"/>
      <c r="N122" s="154">
        <f>SUM($H122:$M122)</f>
        <v>0</v>
      </c>
      <c r="O122" s="450" t="str">
        <f>IF(N122&gt;529,"Yes","NO")</f>
        <v>NO</v>
      </c>
      <c r="P122" s="78" t="str">
        <f>IF(O122="Yes"," M","")</f>
        <v/>
      </c>
    </row>
    <row r="123" spans="2:16" ht="17.25" hidden="1" customHeight="1" x14ac:dyDescent="0.3">
      <c r="B123" s="768"/>
      <c r="D123" s="28"/>
      <c r="E123" s="346" t="s">
        <v>16</v>
      </c>
      <c r="F123" s="321"/>
      <c r="G123" s="506"/>
      <c r="H123" s="81"/>
      <c r="I123" s="82"/>
      <c r="J123" s="82"/>
      <c r="K123" s="82"/>
      <c r="L123" s="82"/>
      <c r="M123" s="82"/>
      <c r="N123" s="168">
        <f t="shared" ref="N123:N128" si="16">SUM($H123:$M123)</f>
        <v>0</v>
      </c>
      <c r="O123" s="451" t="str">
        <f>IF(N123&gt;509,"Yes","NO")</f>
        <v>NO</v>
      </c>
      <c r="P123" s="185" t="str">
        <f>IF(O123="Yes"," G","")</f>
        <v/>
      </c>
    </row>
    <row r="124" spans="2:16" ht="17.25" hidden="1" customHeight="1" x14ac:dyDescent="0.3">
      <c r="B124" s="767"/>
      <c r="C124" s="666"/>
      <c r="D124" s="69"/>
      <c r="E124" s="354" t="s">
        <v>16</v>
      </c>
      <c r="F124" s="321"/>
      <c r="G124" s="499"/>
      <c r="H124" s="81"/>
      <c r="I124" s="82"/>
      <c r="J124" s="82"/>
      <c r="K124" s="82"/>
      <c r="L124" s="82"/>
      <c r="M124" s="82"/>
      <c r="N124" s="168">
        <f t="shared" si="16"/>
        <v>0</v>
      </c>
      <c r="O124" s="451" t="str">
        <f>IF(N124&gt;509,"Yes","NO")</f>
        <v>NO</v>
      </c>
      <c r="P124" s="185" t="str">
        <f>IF(O124="Yes"," G","")</f>
        <v/>
      </c>
    </row>
    <row r="125" spans="2:16" ht="17.25" hidden="1" customHeight="1" thickBot="1" x14ac:dyDescent="0.35">
      <c r="B125" s="770"/>
      <c r="C125" s="660"/>
      <c r="D125" s="29"/>
      <c r="E125" s="348" t="s">
        <v>16</v>
      </c>
      <c r="F125" s="316"/>
      <c r="G125" s="505"/>
      <c r="H125" s="139"/>
      <c r="I125" s="6"/>
      <c r="J125" s="6"/>
      <c r="K125" s="6"/>
      <c r="L125" s="6"/>
      <c r="M125" s="6"/>
      <c r="N125" s="154">
        <f t="shared" si="16"/>
        <v>0</v>
      </c>
      <c r="O125" s="402" t="str">
        <f>IF(N125&gt;509,"Yes","NO")</f>
        <v>NO</v>
      </c>
      <c r="P125" s="78" t="str">
        <f>IF(O125="Yes"," G","")</f>
        <v/>
      </c>
    </row>
    <row r="126" spans="2:16" ht="17.25" hidden="1" customHeight="1" x14ac:dyDescent="0.3">
      <c r="B126" s="769"/>
      <c r="C126" s="666"/>
      <c r="D126" s="69"/>
      <c r="E126" s="354" t="s">
        <v>17</v>
      </c>
      <c r="F126" s="315"/>
      <c r="G126" s="506"/>
      <c r="H126" s="81"/>
      <c r="I126" s="82"/>
      <c r="J126" s="82"/>
      <c r="K126" s="82"/>
      <c r="L126" s="82"/>
      <c r="M126" s="82"/>
      <c r="N126" s="168">
        <f t="shared" si="16"/>
        <v>0</v>
      </c>
      <c r="O126" s="451" t="str">
        <f>IF(N126&gt;479,"Yes","NO")</f>
        <v>NO</v>
      </c>
      <c r="P126" s="322" t="str">
        <f>IF(O126="Yes"," S","")</f>
        <v/>
      </c>
    </row>
    <row r="127" spans="2:16" ht="17.25" hidden="1" customHeight="1" x14ac:dyDescent="0.3">
      <c r="B127" s="767"/>
      <c r="C127" s="666"/>
      <c r="D127" s="69"/>
      <c r="E127" s="354" t="s">
        <v>17</v>
      </c>
      <c r="F127" s="321"/>
      <c r="G127" s="504"/>
      <c r="H127" s="81"/>
      <c r="I127" s="82"/>
      <c r="J127" s="82"/>
      <c r="K127" s="82"/>
      <c r="L127" s="82"/>
      <c r="M127" s="82"/>
      <c r="N127" s="168">
        <f t="shared" si="16"/>
        <v>0</v>
      </c>
      <c r="O127" s="452" t="str">
        <f>IF(N127&gt;479,"Yes","NO")</f>
        <v>NO</v>
      </c>
      <c r="P127" s="79" t="str">
        <f>IF(O127="Yes"," S","")</f>
        <v/>
      </c>
    </row>
    <row r="128" spans="2:16" ht="17.25" hidden="1" customHeight="1" thickBot="1" x14ac:dyDescent="0.35">
      <c r="B128" s="773"/>
      <c r="C128" s="660"/>
      <c r="D128" s="29"/>
      <c r="E128" s="348" t="s">
        <v>17</v>
      </c>
      <c r="F128" s="316"/>
      <c r="G128" s="502"/>
      <c r="H128" s="139"/>
      <c r="I128" s="6"/>
      <c r="J128" s="6"/>
      <c r="K128" s="6"/>
      <c r="L128" s="6"/>
      <c r="M128" s="6"/>
      <c r="N128" s="154">
        <f t="shared" si="16"/>
        <v>0</v>
      </c>
      <c r="O128" s="402" t="str">
        <f>IF(N128&gt;479,"Yes","NO")</f>
        <v>NO</v>
      </c>
      <c r="P128" s="78" t="str">
        <f>IF(O128="Yes"," S","")</f>
        <v/>
      </c>
    </row>
    <row r="129" spans="1:19" ht="24.75" hidden="1" customHeight="1" thickBot="1" x14ac:dyDescent="0.35">
      <c r="C129" s="676" t="s">
        <v>64</v>
      </c>
      <c r="D129" s="1257" t="s">
        <v>122</v>
      </c>
      <c r="E129" s="1258"/>
      <c r="F129" s="1258"/>
      <c r="G129" s="1258"/>
      <c r="H129" s="1258"/>
      <c r="I129" s="1258"/>
      <c r="J129" s="1258"/>
      <c r="K129" s="1258"/>
      <c r="L129" s="1258"/>
      <c r="M129" s="1259"/>
    </row>
    <row r="130" spans="1:19" ht="16.2" thickBot="1" x14ac:dyDescent="0.35"/>
    <row r="131" spans="1:19" ht="25.5" customHeight="1" thickBot="1" x14ac:dyDescent="0.35">
      <c r="C131" s="1260" t="s">
        <v>13</v>
      </c>
      <c r="D131" s="1261"/>
      <c r="E131" s="1261"/>
      <c r="F131" s="1261"/>
      <c r="G131" s="1261"/>
      <c r="H131" s="1261"/>
      <c r="I131" s="1261"/>
      <c r="J131" s="1261"/>
      <c r="K131" s="1261"/>
      <c r="L131" s="1262"/>
      <c r="M131" s="460" t="s">
        <v>127</v>
      </c>
      <c r="N131" s="596"/>
      <c r="O131" s="1187" t="s">
        <v>188</v>
      </c>
      <c r="P131" s="1188"/>
      <c r="Q131" s="590">
        <v>600</v>
      </c>
    </row>
    <row r="132" spans="1:19" ht="27.9" customHeight="1" thickBot="1" x14ac:dyDescent="0.35">
      <c r="B132" s="780" t="s">
        <v>154</v>
      </c>
      <c r="C132" s="677" t="s">
        <v>0</v>
      </c>
      <c r="D132" s="444" t="s">
        <v>1</v>
      </c>
      <c r="E132" s="350" t="s">
        <v>2</v>
      </c>
      <c r="F132" s="194" t="s">
        <v>108</v>
      </c>
      <c r="G132" s="489" t="s">
        <v>153</v>
      </c>
      <c r="H132" s="507" t="s">
        <v>94</v>
      </c>
      <c r="I132" s="508" t="s">
        <v>93</v>
      </c>
      <c r="J132" s="478" t="s">
        <v>37</v>
      </c>
      <c r="K132" s="34" t="s">
        <v>34</v>
      </c>
      <c r="L132" s="12" t="s">
        <v>35</v>
      </c>
      <c r="M132" s="14" t="s">
        <v>36</v>
      </c>
      <c r="N132" s="112" t="s">
        <v>37</v>
      </c>
      <c r="O132" s="458" t="s">
        <v>9</v>
      </c>
      <c r="P132" s="393" t="s">
        <v>79</v>
      </c>
      <c r="Q132" s="338" t="s">
        <v>61</v>
      </c>
    </row>
    <row r="133" spans="1:19" ht="17.100000000000001" customHeight="1" thickBot="1" x14ac:dyDescent="0.35">
      <c r="A133" s="13" t="s">
        <v>286</v>
      </c>
      <c r="B133" s="770" t="s">
        <v>311</v>
      </c>
      <c r="C133" s="757" t="s">
        <v>131</v>
      </c>
      <c r="D133" s="44">
        <v>1194</v>
      </c>
      <c r="E133" s="346" t="s">
        <v>14</v>
      </c>
      <c r="F133" s="709" t="s">
        <v>376</v>
      </c>
      <c r="G133" s="61" t="s">
        <v>150</v>
      </c>
      <c r="H133" s="87">
        <v>126</v>
      </c>
      <c r="I133" s="25">
        <v>128</v>
      </c>
      <c r="J133" s="61">
        <f>SUM($H133:$I133)</f>
        <v>254</v>
      </c>
      <c r="K133" s="36">
        <v>97</v>
      </c>
      <c r="L133" s="1">
        <v>98</v>
      </c>
      <c r="M133" s="25">
        <v>93</v>
      </c>
      <c r="N133" s="61">
        <f>SUM($K133:$M133)</f>
        <v>288</v>
      </c>
      <c r="O133" s="915">
        <f>$N133+$J133</f>
        <v>542</v>
      </c>
      <c r="P133" s="1255"/>
      <c r="Q133" s="1256"/>
    </row>
    <row r="134" spans="1:19" ht="17.100000000000001" customHeight="1" x14ac:dyDescent="0.3">
      <c r="A134" s="13" t="s">
        <v>286</v>
      </c>
      <c r="B134" s="781" t="s">
        <v>253</v>
      </c>
      <c r="C134" s="682" t="s">
        <v>333</v>
      </c>
      <c r="D134" s="110">
        <v>2466</v>
      </c>
      <c r="E134" s="351" t="s">
        <v>15</v>
      </c>
      <c r="F134" s="1076" t="s">
        <v>358</v>
      </c>
      <c r="G134" s="58" t="s">
        <v>150</v>
      </c>
      <c r="H134" s="39">
        <v>112</v>
      </c>
      <c r="I134" s="32">
        <v>120</v>
      </c>
      <c r="J134" s="58">
        <f t="shared" ref="J134:J137" si="17">SUM($H134:$I134)</f>
        <v>232</v>
      </c>
      <c r="K134" s="39">
        <v>84</v>
      </c>
      <c r="L134" s="5">
        <v>88</v>
      </c>
      <c r="M134" s="32">
        <v>90</v>
      </c>
      <c r="N134" s="58">
        <f t="shared" ref="N134:N137" si="18">SUM($K134:$M134)</f>
        <v>262</v>
      </c>
      <c r="O134" s="526">
        <f t="shared" ref="O134:O137" si="19">$N134+$J134</f>
        <v>494</v>
      </c>
      <c r="P134" s="280" t="str">
        <f>IF(O134&gt;529,"Yes","NO")</f>
        <v>NO</v>
      </c>
      <c r="Q134" s="640" t="str">
        <f>IF(P134="Yes","G","")</f>
        <v/>
      </c>
      <c r="R134" s="985"/>
    </row>
    <row r="135" spans="1:19" ht="17.100000000000001" customHeight="1" thickBot="1" x14ac:dyDescent="0.35">
      <c r="A135" s="13" t="s">
        <v>286</v>
      </c>
      <c r="B135" s="773"/>
      <c r="C135" s="687" t="s">
        <v>372</v>
      </c>
      <c r="D135" s="29">
        <v>169</v>
      </c>
      <c r="E135" s="563" t="s">
        <v>15</v>
      </c>
      <c r="F135" s="121" t="s">
        <v>371</v>
      </c>
      <c r="G135" s="59" t="s">
        <v>151</v>
      </c>
      <c r="H135" s="37">
        <v>107</v>
      </c>
      <c r="I135" s="26">
        <v>117</v>
      </c>
      <c r="J135" s="59">
        <f t="shared" si="17"/>
        <v>224</v>
      </c>
      <c r="K135" s="37">
        <v>84</v>
      </c>
      <c r="L135" s="6">
        <v>83</v>
      </c>
      <c r="M135" s="140">
        <v>89</v>
      </c>
      <c r="N135" s="59">
        <f t="shared" si="18"/>
        <v>256</v>
      </c>
      <c r="O135" s="525">
        <f t="shared" si="19"/>
        <v>480</v>
      </c>
      <c r="P135" s="234" t="str">
        <f>IF(O135&gt;529,"Yes","NO")</f>
        <v>NO</v>
      </c>
      <c r="Q135" s="641" t="str">
        <f>IF(P135="Yes","G","")</f>
        <v/>
      </c>
    </row>
    <row r="136" spans="1:19" ht="17.100000000000001" customHeight="1" thickBot="1" x14ac:dyDescent="0.35">
      <c r="A136" s="13" t="s">
        <v>286</v>
      </c>
      <c r="B136" s="781"/>
      <c r="C136" s="682"/>
      <c r="D136" s="110"/>
      <c r="E136" s="351" t="s">
        <v>17</v>
      </c>
      <c r="F136" s="313"/>
      <c r="G136" s="484"/>
      <c r="H136" s="39"/>
      <c r="I136" s="32"/>
      <c r="J136" s="58">
        <f t="shared" si="17"/>
        <v>0</v>
      </c>
      <c r="K136" s="39"/>
      <c r="L136" s="5"/>
      <c r="M136" s="32"/>
      <c r="N136" s="58">
        <f t="shared" si="18"/>
        <v>0</v>
      </c>
      <c r="O136" s="526">
        <f t="shared" si="19"/>
        <v>0</v>
      </c>
      <c r="P136" s="280" t="str">
        <f>IF(O136&gt;508,"Yes","NO")</f>
        <v>NO</v>
      </c>
      <c r="Q136" s="640" t="str">
        <f>IF(P136="Yes","S","")</f>
        <v/>
      </c>
    </row>
    <row r="137" spans="1:19" ht="17.100000000000001" customHeight="1" thickBot="1" x14ac:dyDescent="0.35">
      <c r="A137" s="13" t="s">
        <v>286</v>
      </c>
      <c r="B137" s="771"/>
      <c r="C137" s="687"/>
      <c r="D137" s="29"/>
      <c r="E137" s="348" t="s">
        <v>17</v>
      </c>
      <c r="F137" s="479"/>
      <c r="G137" s="487"/>
      <c r="H137" s="37"/>
      <c r="I137" s="26"/>
      <c r="J137" s="59">
        <f t="shared" si="17"/>
        <v>0</v>
      </c>
      <c r="K137" s="37"/>
      <c r="L137" s="6"/>
      <c r="M137" s="26"/>
      <c r="N137" s="59">
        <f t="shared" si="18"/>
        <v>0</v>
      </c>
      <c r="O137" s="525">
        <f t="shared" si="19"/>
        <v>0</v>
      </c>
      <c r="P137" s="234" t="str">
        <f>IF(O137&gt;508,"Yes","NO")</f>
        <v>NO</v>
      </c>
      <c r="Q137" s="641" t="str">
        <f>IF(P137="Yes","S","")</f>
        <v/>
      </c>
    </row>
    <row r="138" spans="1:19" ht="24" customHeight="1" thickBot="1" x14ac:dyDescent="0.35">
      <c r="B138" s="967">
        <f>COUNTA(B133:B137)</f>
        <v>2</v>
      </c>
      <c r="C138" s="676" t="s">
        <v>64</v>
      </c>
      <c r="D138" s="1184" t="s">
        <v>68</v>
      </c>
      <c r="E138" s="1185"/>
      <c r="F138" s="1185"/>
      <c r="G138" s="1185"/>
      <c r="H138" s="1185"/>
      <c r="I138" s="1185"/>
      <c r="J138" s="1185"/>
      <c r="K138" s="1185"/>
      <c r="L138" s="1185"/>
      <c r="M138" s="1185"/>
      <c r="N138" s="1186"/>
      <c r="O138" s="446" t="s">
        <v>10</v>
      </c>
    </row>
    <row r="139" spans="1:19" ht="16.2" thickBot="1" x14ac:dyDescent="0.35">
      <c r="M139" s="20" t="s">
        <v>10</v>
      </c>
    </row>
    <row r="140" spans="1:19" ht="25.5" customHeight="1" thickBot="1" x14ac:dyDescent="0.35">
      <c r="B140" s="1268" t="s">
        <v>123</v>
      </c>
      <c r="C140" s="1269"/>
      <c r="D140" s="1269"/>
      <c r="E140" s="1269"/>
      <c r="F140" s="1269"/>
      <c r="G140" s="1269"/>
      <c r="H140" s="1269"/>
      <c r="I140" s="1269"/>
      <c r="J140" s="1269"/>
      <c r="K140" s="1269"/>
      <c r="L140" s="1269"/>
      <c r="M140" s="1270"/>
      <c r="N140" s="461" t="s">
        <v>53</v>
      </c>
      <c r="O140" s="1187" t="s">
        <v>188</v>
      </c>
      <c r="P140" s="1188"/>
      <c r="Q140" s="588">
        <v>600</v>
      </c>
    </row>
    <row r="141" spans="1:19" s="380" customFormat="1" ht="30" hidden="1" customHeight="1" thickBot="1" x14ac:dyDescent="0.35">
      <c r="A141" s="102"/>
      <c r="B141" s="102"/>
      <c r="C141" s="679" t="s">
        <v>97</v>
      </c>
      <c r="D141" s="1195" t="s">
        <v>104</v>
      </c>
      <c r="E141" s="1196"/>
      <c r="F141" s="1196"/>
      <c r="G141" s="1196"/>
      <c r="H141" s="1207" t="s">
        <v>105</v>
      </c>
      <c r="I141" s="1208"/>
      <c r="J141" s="1208"/>
      <c r="K141" s="1209"/>
      <c r="L141" s="1195" t="s">
        <v>106</v>
      </c>
      <c r="M141" s="1196"/>
      <c r="N141" s="1197"/>
      <c r="O141" s="1198"/>
      <c r="P141" s="1204" t="s">
        <v>98</v>
      </c>
      <c r="Q141" s="1205"/>
      <c r="R141" s="1206"/>
    </row>
    <row r="142" spans="1:19" s="380" customFormat="1" ht="27" hidden="1" customHeight="1" thickBot="1" x14ac:dyDescent="0.35">
      <c r="A142" s="102"/>
      <c r="B142" s="780" t="s">
        <v>154</v>
      </c>
      <c r="C142" s="677" t="s">
        <v>0</v>
      </c>
      <c r="D142" s="391" t="s">
        <v>1</v>
      </c>
      <c r="E142" s="426" t="s">
        <v>2</v>
      </c>
      <c r="F142" s="427" t="s">
        <v>108</v>
      </c>
      <c r="G142" s="511" t="s">
        <v>153</v>
      </c>
      <c r="H142" s="356" t="s">
        <v>100</v>
      </c>
      <c r="I142" s="509" t="s">
        <v>100</v>
      </c>
      <c r="J142" s="430" t="s">
        <v>37</v>
      </c>
      <c r="K142" s="428" t="s">
        <v>101</v>
      </c>
      <c r="L142" s="429" t="s">
        <v>101</v>
      </c>
      <c r="M142" s="430" t="s">
        <v>37</v>
      </c>
      <c r="N142" s="431" t="s">
        <v>102</v>
      </c>
      <c r="O142" s="432" t="s">
        <v>102</v>
      </c>
      <c r="P142" s="528" t="s">
        <v>37</v>
      </c>
      <c r="Q142" s="529" t="s">
        <v>9</v>
      </c>
      <c r="R142" s="418" t="s">
        <v>79</v>
      </c>
      <c r="S142" s="319" t="s">
        <v>61</v>
      </c>
    </row>
    <row r="143" spans="1:19" ht="17.100000000000001" hidden="1" customHeight="1" x14ac:dyDescent="0.3">
      <c r="A143" s="13" t="s">
        <v>287</v>
      </c>
      <c r="B143" s="769"/>
      <c r="C143" s="665"/>
      <c r="D143" s="44"/>
      <c r="E143" s="346" t="s">
        <v>14</v>
      </c>
      <c r="F143" s="315"/>
      <c r="G143" s="723"/>
      <c r="H143" s="496"/>
      <c r="I143" s="2"/>
      <c r="J143" s="58">
        <f t="shared" ref="J143:J151" si="20">SUM($H143:$I143)</f>
        <v>0</v>
      </c>
      <c r="K143" s="135"/>
      <c r="L143" s="138"/>
      <c r="M143" s="58">
        <f t="shared" ref="M143:M151" si="21">SUM($K143:$L143)</f>
        <v>0</v>
      </c>
      <c r="N143" s="182"/>
      <c r="O143" s="138"/>
      <c r="P143" s="527">
        <f t="shared" ref="P143:P151" si="22">SUM($N143:$O143)</f>
        <v>0</v>
      </c>
      <c r="Q143" s="152">
        <f t="shared" ref="Q143:Q151" si="23">$J143+$M143+$P143</f>
        <v>0</v>
      </c>
      <c r="R143" s="1244"/>
      <c r="S143" s="1245"/>
    </row>
    <row r="144" spans="1:19" ht="17.100000000000001" hidden="1" customHeight="1" thickBot="1" x14ac:dyDescent="0.35">
      <c r="A144" s="13" t="s">
        <v>287</v>
      </c>
      <c r="B144" s="770"/>
      <c r="C144" s="660"/>
      <c r="D144" s="29"/>
      <c r="E144" s="348" t="s">
        <v>14</v>
      </c>
      <c r="F144" s="119"/>
      <c r="G144" s="513"/>
      <c r="H144" s="494"/>
      <c r="I144" s="25"/>
      <c r="J144" s="61">
        <f t="shared" si="20"/>
        <v>0</v>
      </c>
      <c r="K144" s="128"/>
      <c r="L144" s="88"/>
      <c r="M144" s="59">
        <f t="shared" si="21"/>
        <v>0</v>
      </c>
      <c r="N144" s="128"/>
      <c r="O144" s="88"/>
      <c r="P144" s="218">
        <f t="shared" si="22"/>
        <v>0</v>
      </c>
      <c r="Q144" s="153">
        <f t="shared" si="23"/>
        <v>0</v>
      </c>
      <c r="R144" s="1246"/>
      <c r="S144" s="1247"/>
    </row>
    <row r="145" spans="1:19" ht="17.100000000000001" hidden="1" customHeight="1" x14ac:dyDescent="0.3">
      <c r="A145" s="13" t="s">
        <v>287</v>
      </c>
      <c r="B145" s="769"/>
      <c r="C145" s="661"/>
      <c r="D145" s="43"/>
      <c r="E145" s="347" t="s">
        <v>15</v>
      </c>
      <c r="F145" s="315"/>
      <c r="G145" s="512"/>
      <c r="H145" s="496"/>
      <c r="I145" s="24"/>
      <c r="J145" s="57">
        <f t="shared" si="20"/>
        <v>0</v>
      </c>
      <c r="K145" s="182"/>
      <c r="L145" s="138"/>
      <c r="M145" s="58">
        <f t="shared" si="21"/>
        <v>0</v>
      </c>
      <c r="N145" s="182"/>
      <c r="O145" s="138"/>
      <c r="P145" s="527">
        <f t="shared" si="22"/>
        <v>0</v>
      </c>
      <c r="Q145" s="152">
        <f t="shared" si="23"/>
        <v>0</v>
      </c>
      <c r="R145" s="422" t="str">
        <f>IF(Q145&gt;559,"Yes","NO")</f>
        <v>NO</v>
      </c>
      <c r="S145" s="642" t="str">
        <f>IF(R145="Yes","M","")</f>
        <v/>
      </c>
    </row>
    <row r="146" spans="1:19" ht="17.100000000000001" hidden="1" customHeight="1" thickBot="1" x14ac:dyDescent="0.35">
      <c r="A146" s="13" t="s">
        <v>287</v>
      </c>
      <c r="B146" s="773"/>
      <c r="C146" s="660"/>
      <c r="D146" s="29"/>
      <c r="E146" s="348" t="s">
        <v>15</v>
      </c>
      <c r="F146" s="121"/>
      <c r="G146" s="514"/>
      <c r="H146" s="493"/>
      <c r="I146" s="26"/>
      <c r="J146" s="59">
        <f t="shared" si="20"/>
        <v>0</v>
      </c>
      <c r="K146" s="176"/>
      <c r="L146" s="140"/>
      <c r="M146" s="59">
        <f t="shared" si="21"/>
        <v>0</v>
      </c>
      <c r="N146" s="176"/>
      <c r="O146" s="140"/>
      <c r="P146" s="238">
        <f t="shared" si="22"/>
        <v>0</v>
      </c>
      <c r="Q146" s="154">
        <f t="shared" si="23"/>
        <v>0</v>
      </c>
      <c r="R146" s="423" t="str">
        <f>IF(Q146&gt;559,"Yes","NO")</f>
        <v>NO</v>
      </c>
      <c r="S146" s="643" t="str">
        <f>IF(R146="Yes","M","")</f>
        <v/>
      </c>
    </row>
    <row r="147" spans="1:19" ht="17.100000000000001" hidden="1" customHeight="1" x14ac:dyDescent="0.3">
      <c r="A147" s="13" t="s">
        <v>287</v>
      </c>
      <c r="B147" s="768"/>
      <c r="C147" s="667"/>
      <c r="D147" s="28"/>
      <c r="E147" s="413" t="s">
        <v>16</v>
      </c>
      <c r="F147" s="142"/>
      <c r="G147" s="515"/>
      <c r="H147" s="495"/>
      <c r="I147" s="7"/>
      <c r="J147" s="57">
        <f t="shared" si="20"/>
        <v>0</v>
      </c>
      <c r="K147" s="135"/>
      <c r="L147" s="91"/>
      <c r="M147" s="58">
        <f t="shared" si="21"/>
        <v>0</v>
      </c>
      <c r="N147" s="135"/>
      <c r="O147" s="91"/>
      <c r="P147" s="527">
        <f t="shared" si="22"/>
        <v>0</v>
      </c>
      <c r="Q147" s="152">
        <f t="shared" si="23"/>
        <v>0</v>
      </c>
      <c r="R147" s="424" t="str">
        <f>IF(Q147&gt;529,"Yes","NO")</f>
        <v>NO</v>
      </c>
      <c r="S147" s="644" t="str">
        <f>IF(R147="Yes","G","")</f>
        <v/>
      </c>
    </row>
    <row r="148" spans="1:19" ht="17.100000000000001" hidden="1" customHeight="1" thickBot="1" x14ac:dyDescent="0.35">
      <c r="A148" s="13" t="s">
        <v>287</v>
      </c>
      <c r="B148" s="770"/>
      <c r="C148" s="660"/>
      <c r="D148" s="29"/>
      <c r="E148" s="348" t="s">
        <v>16</v>
      </c>
      <c r="F148" s="119"/>
      <c r="G148" s="516"/>
      <c r="H148" s="510"/>
      <c r="I148" s="26"/>
      <c r="J148" s="59">
        <f t="shared" si="20"/>
        <v>0</v>
      </c>
      <c r="K148" s="176"/>
      <c r="L148" s="140"/>
      <c r="M148" s="59">
        <f t="shared" si="21"/>
        <v>0</v>
      </c>
      <c r="N148" s="176"/>
      <c r="O148" s="140"/>
      <c r="P148" s="238">
        <f t="shared" si="22"/>
        <v>0</v>
      </c>
      <c r="Q148" s="154">
        <f t="shared" si="23"/>
        <v>0</v>
      </c>
      <c r="R148" s="423" t="str">
        <f>IF(Q148&gt;529,"Yes","NO")</f>
        <v>NO</v>
      </c>
      <c r="S148" s="643" t="str">
        <f>IF(R148="Yes","G","")</f>
        <v/>
      </c>
    </row>
    <row r="149" spans="1:19" ht="17.100000000000001" hidden="1" customHeight="1" thickBot="1" x14ac:dyDescent="0.3">
      <c r="A149" s="13" t="s">
        <v>287</v>
      </c>
      <c r="B149" s="781"/>
      <c r="C149" s="667"/>
      <c r="D149" s="28"/>
      <c r="E149" s="414" t="s">
        <v>17</v>
      </c>
      <c r="F149" s="315"/>
      <c r="G149" s="553"/>
      <c r="H149" s="410"/>
      <c r="I149" s="24"/>
      <c r="J149" s="60">
        <f t="shared" si="20"/>
        <v>0</v>
      </c>
      <c r="K149" s="133"/>
      <c r="L149" s="98"/>
      <c r="M149" s="58">
        <f t="shared" si="21"/>
        <v>0</v>
      </c>
      <c r="N149" s="133"/>
      <c r="O149" s="98"/>
      <c r="P149" s="244">
        <f t="shared" si="22"/>
        <v>0</v>
      </c>
      <c r="Q149" s="155">
        <f t="shared" si="23"/>
        <v>0</v>
      </c>
      <c r="R149" s="477" t="str">
        <f>IF(Q149&gt;499,"Yes","NO")</f>
        <v>NO</v>
      </c>
      <c r="S149" s="610" t="str">
        <f>IF(R149="Yes","S","")</f>
        <v/>
      </c>
    </row>
    <row r="150" spans="1:19" ht="17.100000000000001" hidden="1" customHeight="1" thickBot="1" x14ac:dyDescent="0.3">
      <c r="A150" s="13" t="s">
        <v>287</v>
      </c>
      <c r="B150" s="781"/>
      <c r="C150" s="667"/>
      <c r="D150" s="69"/>
      <c r="E150" s="554" t="s">
        <v>17</v>
      </c>
      <c r="F150" s="320"/>
      <c r="G150" s="710"/>
      <c r="H150" s="409"/>
      <c r="I150" s="31"/>
      <c r="J150" s="60">
        <f t="shared" si="20"/>
        <v>0</v>
      </c>
      <c r="K150" s="591"/>
      <c r="L150" s="86"/>
      <c r="M150" s="62">
        <f t="shared" si="21"/>
        <v>0</v>
      </c>
      <c r="N150" s="129"/>
      <c r="O150" s="86"/>
      <c r="P150" s="244">
        <f t="shared" si="22"/>
        <v>0</v>
      </c>
      <c r="Q150" s="155">
        <f t="shared" si="23"/>
        <v>0</v>
      </c>
      <c r="R150" s="477"/>
      <c r="S150" s="615"/>
    </row>
    <row r="151" spans="1:19" ht="17.100000000000001" hidden="1" customHeight="1" thickBot="1" x14ac:dyDescent="0.35">
      <c r="A151" s="13" t="s">
        <v>287</v>
      </c>
      <c r="B151" s="781"/>
      <c r="C151" s="666"/>
      <c r="D151" s="29"/>
      <c r="E151" s="415" t="s">
        <v>17</v>
      </c>
      <c r="F151" s="118"/>
      <c r="G151" s="513"/>
      <c r="H151" s="407"/>
      <c r="I151" s="26"/>
      <c r="J151" s="60">
        <f t="shared" si="20"/>
        <v>0</v>
      </c>
      <c r="K151" s="135"/>
      <c r="L151" s="91"/>
      <c r="M151" s="65">
        <f t="shared" si="21"/>
        <v>0</v>
      </c>
      <c r="N151" s="135"/>
      <c r="O151" s="140"/>
      <c r="P151" s="238">
        <f t="shared" si="22"/>
        <v>0</v>
      </c>
      <c r="Q151" s="154">
        <f t="shared" si="23"/>
        <v>0</v>
      </c>
      <c r="R151" s="402" t="str">
        <f>IF(Q151&gt;499,"Yes","NO")</f>
        <v>NO</v>
      </c>
      <c r="S151" s="616" t="str">
        <f>IF(R151="Yes","S","")</f>
        <v/>
      </c>
    </row>
    <row r="152" spans="1:19" ht="18.600000000000001" hidden="1" customHeight="1" thickBot="1" x14ac:dyDescent="0.35">
      <c r="C152" s="669" t="s">
        <v>64</v>
      </c>
      <c r="D152" s="1241" t="s">
        <v>111</v>
      </c>
      <c r="E152" s="1242"/>
      <c r="F152" s="1242"/>
      <c r="G152" s="1242"/>
      <c r="H152" s="1242"/>
      <c r="I152" s="1242"/>
      <c r="J152" s="1242"/>
      <c r="K152" s="1242"/>
      <c r="L152" s="1242"/>
      <c r="M152" s="1242"/>
      <c r="N152" s="1243"/>
      <c r="P152" s="184"/>
      <c r="Q152" s="184"/>
    </row>
    <row r="153" spans="1:19" ht="18" hidden="1" customHeight="1" x14ac:dyDescent="0.3">
      <c r="C153" s="675"/>
      <c r="D153" s="439"/>
      <c r="E153" s="440"/>
      <c r="F153" s="440"/>
      <c r="G153" s="439"/>
      <c r="H153" s="440"/>
      <c r="I153" s="440"/>
      <c r="J153" s="440"/>
      <c r="K153" s="440"/>
      <c r="L153" s="440"/>
      <c r="M153" s="440"/>
      <c r="N153" s="440"/>
      <c r="P153" s="184"/>
      <c r="Q153" s="184"/>
    </row>
    <row r="154" spans="1:19" ht="16.2" thickBot="1" x14ac:dyDescent="0.35"/>
    <row r="155" spans="1:19" ht="25.5" customHeight="1" thickBot="1" x14ac:dyDescent="0.35">
      <c r="C155" s="1189" t="s">
        <v>38</v>
      </c>
      <c r="D155" s="1239"/>
      <c r="E155" s="1239"/>
      <c r="F155" s="1239"/>
      <c r="G155" s="1239"/>
      <c r="H155" s="1239"/>
      <c r="I155" s="1239"/>
      <c r="J155" s="1239"/>
      <c r="K155" s="1239"/>
      <c r="L155" s="1239"/>
      <c r="M155" s="1240"/>
      <c r="N155" s="460" t="s">
        <v>124</v>
      </c>
      <c r="O155" s="1187" t="s">
        <v>188</v>
      </c>
      <c r="P155" s="1188"/>
      <c r="Q155" s="590">
        <v>600</v>
      </c>
    </row>
    <row r="156" spans="1:19" ht="29.1" customHeight="1" thickBot="1" x14ac:dyDescent="0.35">
      <c r="B156" s="780" t="s">
        <v>154</v>
      </c>
      <c r="C156" s="999" t="s">
        <v>0</v>
      </c>
      <c r="D156" s="30" t="s">
        <v>1</v>
      </c>
      <c r="E156" s="351" t="s">
        <v>2</v>
      </c>
      <c r="F156" s="917" t="s">
        <v>108</v>
      </c>
      <c r="G156" s="484" t="s">
        <v>153</v>
      </c>
      <c r="H156" s="492" t="s">
        <v>3</v>
      </c>
      <c r="I156" s="517" t="s">
        <v>4</v>
      </c>
      <c r="J156" s="144" t="s">
        <v>37</v>
      </c>
      <c r="K156" s="80" t="s">
        <v>34</v>
      </c>
      <c r="L156" s="107" t="s">
        <v>35</v>
      </c>
      <c r="M156" s="89" t="s">
        <v>36</v>
      </c>
      <c r="N156" s="144" t="s">
        <v>37</v>
      </c>
      <c r="O156" s="526" t="s">
        <v>9</v>
      </c>
      <c r="P156" s="418" t="s">
        <v>79</v>
      </c>
      <c r="Q156" s="338" t="s">
        <v>61</v>
      </c>
      <c r="R156" s="114"/>
    </row>
    <row r="157" spans="1:19" ht="16.2" customHeight="1" x14ac:dyDescent="0.3">
      <c r="A157" s="13" t="s">
        <v>280</v>
      </c>
      <c r="B157" s="769" t="s">
        <v>311</v>
      </c>
      <c r="C157" s="661" t="s">
        <v>131</v>
      </c>
      <c r="D157" s="43">
        <v>1194</v>
      </c>
      <c r="E157" s="343" t="s">
        <v>14</v>
      </c>
      <c r="F157" s="926"/>
      <c r="G157" s="490" t="s">
        <v>150</v>
      </c>
      <c r="H157" s="35">
        <v>145</v>
      </c>
      <c r="I157" s="138">
        <v>142</v>
      </c>
      <c r="J157" s="919">
        <f t="shared" ref="J157:J164" si="24">SUM($H157:$I157)</f>
        <v>287</v>
      </c>
      <c r="K157" s="137">
        <v>86</v>
      </c>
      <c r="L157" s="2">
        <v>93</v>
      </c>
      <c r="M157" s="138">
        <v>91</v>
      </c>
      <c r="N157" s="919">
        <f t="shared" ref="N157:N164" si="25">SUM($K157:$M157)</f>
        <v>270</v>
      </c>
      <c r="O157" s="927">
        <f t="shared" ref="O157:O164" si="26">$N157+$J157</f>
        <v>557</v>
      </c>
      <c r="P157" s="1237"/>
      <c r="Q157" s="1238"/>
      <c r="R157" s="760"/>
    </row>
    <row r="158" spans="1:19" ht="16.2" customHeight="1" x14ac:dyDescent="0.3">
      <c r="B158" s="998" t="s">
        <v>248</v>
      </c>
      <c r="C158" s="657" t="s">
        <v>115</v>
      </c>
      <c r="D158" s="28">
        <v>1383</v>
      </c>
      <c r="E158" s="537" t="s">
        <v>14</v>
      </c>
      <c r="F158" s="1030"/>
      <c r="G158" s="890" t="s">
        <v>149</v>
      </c>
      <c r="H158" s="36">
        <v>136</v>
      </c>
      <c r="I158" s="88">
        <v>135</v>
      </c>
      <c r="J158" s="1031">
        <f t="shared" si="24"/>
        <v>271</v>
      </c>
      <c r="K158" s="87">
        <v>93</v>
      </c>
      <c r="L158" s="1">
        <v>95</v>
      </c>
      <c r="M158" s="88">
        <v>91</v>
      </c>
      <c r="N158" s="922">
        <f t="shared" si="25"/>
        <v>279</v>
      </c>
      <c r="O158" s="923">
        <f t="shared" si="26"/>
        <v>550</v>
      </c>
      <c r="P158" s="1237"/>
      <c r="Q158" s="1238"/>
      <c r="R158" s="760"/>
    </row>
    <row r="159" spans="1:19" ht="17.100000000000001" customHeight="1" thickBot="1" x14ac:dyDescent="0.35">
      <c r="A159" s="13" t="s">
        <v>280</v>
      </c>
      <c r="B159" s="1029"/>
      <c r="C159" s="665"/>
      <c r="D159" s="29"/>
      <c r="E159" s="342" t="s">
        <v>14</v>
      </c>
      <c r="F159" s="119"/>
      <c r="G159" s="59"/>
      <c r="H159" s="36"/>
      <c r="I159" s="88"/>
      <c r="J159" s="922">
        <f t="shared" si="24"/>
        <v>0</v>
      </c>
      <c r="K159" s="87"/>
      <c r="L159" s="1"/>
      <c r="M159" s="88"/>
      <c r="N159" s="922">
        <f t="shared" si="25"/>
        <v>0</v>
      </c>
      <c r="O159" s="923">
        <f t="shared" si="26"/>
        <v>0</v>
      </c>
      <c r="P159" s="1237"/>
      <c r="Q159" s="1238"/>
    </row>
    <row r="160" spans="1:19" ht="17.100000000000001" customHeight="1" x14ac:dyDescent="0.3">
      <c r="A160" s="13" t="s">
        <v>280</v>
      </c>
      <c r="B160" s="769"/>
      <c r="C160" s="661" t="s">
        <v>372</v>
      </c>
      <c r="D160" s="43">
        <v>169</v>
      </c>
      <c r="E160" s="343" t="s">
        <v>15</v>
      </c>
      <c r="F160" s="1053" t="s">
        <v>371</v>
      </c>
      <c r="G160" s="919" t="s">
        <v>151</v>
      </c>
      <c r="H160" s="137">
        <v>127</v>
      </c>
      <c r="I160" s="138">
        <v>131</v>
      </c>
      <c r="J160" s="919">
        <f>SUM($H160:$I160)</f>
        <v>258</v>
      </c>
      <c r="K160" s="137">
        <v>96</v>
      </c>
      <c r="L160" s="2">
        <v>93</v>
      </c>
      <c r="M160" s="138">
        <v>91</v>
      </c>
      <c r="N160" s="919">
        <f>SUM($K160:$M160)</f>
        <v>280</v>
      </c>
      <c r="O160" s="927">
        <f>$N160+$J160</f>
        <v>538</v>
      </c>
      <c r="P160" s="422" t="str">
        <f>IF(O160&gt;564,"Yes","NO")</f>
        <v>NO</v>
      </c>
      <c r="Q160" s="642" t="str">
        <f>IF(P160="Yes","M","")</f>
        <v/>
      </c>
    </row>
    <row r="161" spans="1:18" ht="17.100000000000001" customHeight="1" x14ac:dyDescent="0.3">
      <c r="A161" s="13" t="s">
        <v>280</v>
      </c>
      <c r="B161" s="767" t="s">
        <v>162</v>
      </c>
      <c r="C161" s="666" t="s">
        <v>136</v>
      </c>
      <c r="D161" s="69">
        <v>1668</v>
      </c>
      <c r="E161" s="389" t="s">
        <v>15</v>
      </c>
      <c r="F161" s="118"/>
      <c r="G161" s="920" t="s">
        <v>151</v>
      </c>
      <c r="H161" s="81">
        <v>137</v>
      </c>
      <c r="I161" s="86">
        <v>141</v>
      </c>
      <c r="J161" s="753">
        <f>SUM($H161:$I161)</f>
        <v>278</v>
      </c>
      <c r="K161" s="81">
        <v>87</v>
      </c>
      <c r="L161" s="82">
        <v>82</v>
      </c>
      <c r="M161" s="86">
        <v>85</v>
      </c>
      <c r="N161" s="753">
        <f>SUM($K161:$M161)</f>
        <v>254</v>
      </c>
      <c r="O161" s="555">
        <f>$N161+$J161</f>
        <v>532</v>
      </c>
      <c r="P161" s="425" t="str">
        <f>IF(O161&gt;564,"Yes","NO")</f>
        <v>NO</v>
      </c>
      <c r="Q161" s="645" t="str">
        <f>IF(P161="Yes","M","")</f>
        <v/>
      </c>
    </row>
    <row r="162" spans="1:18" ht="17.100000000000001" customHeight="1" x14ac:dyDescent="0.3">
      <c r="A162" s="13" t="s">
        <v>280</v>
      </c>
      <c r="B162" s="767" t="s">
        <v>253</v>
      </c>
      <c r="C162" s="666" t="s">
        <v>333</v>
      </c>
      <c r="D162" s="69">
        <v>2466</v>
      </c>
      <c r="E162" s="389" t="s">
        <v>15</v>
      </c>
      <c r="F162" s="118" t="s">
        <v>358</v>
      </c>
      <c r="G162" s="753" t="s">
        <v>150</v>
      </c>
      <c r="H162" s="81">
        <v>128</v>
      </c>
      <c r="I162" s="86">
        <v>126</v>
      </c>
      <c r="J162" s="753">
        <f>SUM($H162:$I162)</f>
        <v>254</v>
      </c>
      <c r="K162" s="81">
        <v>90</v>
      </c>
      <c r="L162" s="82">
        <v>92</v>
      </c>
      <c r="M162" s="86">
        <v>91</v>
      </c>
      <c r="N162" s="753">
        <f>SUM($K162:$M162)</f>
        <v>273</v>
      </c>
      <c r="O162" s="555">
        <f>$N162+$J162</f>
        <v>527</v>
      </c>
      <c r="P162" s="425" t="str">
        <f>IF(O162&gt;564,"Yes","NO")</f>
        <v>NO</v>
      </c>
      <c r="Q162" s="645" t="str">
        <f>IF(P162="Yes","M","")</f>
        <v/>
      </c>
    </row>
    <row r="163" spans="1:18" ht="17.100000000000001" customHeight="1" x14ac:dyDescent="0.3">
      <c r="B163" s="770" t="s">
        <v>308</v>
      </c>
      <c r="C163" s="665" t="s">
        <v>178</v>
      </c>
      <c r="D163" s="44">
        <v>309</v>
      </c>
      <c r="E163" s="342" t="s">
        <v>15</v>
      </c>
      <c r="F163" s="1041"/>
      <c r="G163" s="922" t="s">
        <v>179</v>
      </c>
      <c r="H163" s="87">
        <v>131</v>
      </c>
      <c r="I163" s="88">
        <v>134</v>
      </c>
      <c r="J163" s="922">
        <f>SUM($H163:$I163)</f>
        <v>265</v>
      </c>
      <c r="K163" s="87">
        <v>93</v>
      </c>
      <c r="L163" s="1">
        <v>87</v>
      </c>
      <c r="M163" s="88">
        <v>77</v>
      </c>
      <c r="N163" s="922">
        <f>SUM($K163:$M163)</f>
        <v>257</v>
      </c>
      <c r="O163" s="923">
        <f>$N163+$J163</f>
        <v>522</v>
      </c>
      <c r="P163" s="425" t="str">
        <f>IF(O163&gt;564,"Yes","NO")</f>
        <v>NO</v>
      </c>
      <c r="Q163" s="645" t="str">
        <f>IF(P163="Yes","M","")</f>
        <v/>
      </c>
    </row>
    <row r="164" spans="1:18" ht="17.100000000000001" customHeight="1" thickBot="1" x14ac:dyDescent="0.35">
      <c r="A164" s="13" t="s">
        <v>280</v>
      </c>
      <c r="B164" s="773" t="s">
        <v>319</v>
      </c>
      <c r="C164" s="660" t="s">
        <v>215</v>
      </c>
      <c r="D164" s="29">
        <v>283</v>
      </c>
      <c r="E164" s="318" t="s">
        <v>15</v>
      </c>
      <c r="F164" s="1032"/>
      <c r="G164" s="754" t="s">
        <v>155</v>
      </c>
      <c r="H164" s="139">
        <v>117</v>
      </c>
      <c r="I164" s="140">
        <v>123</v>
      </c>
      <c r="J164" s="754">
        <f t="shared" si="24"/>
        <v>240</v>
      </c>
      <c r="K164" s="139">
        <v>90</v>
      </c>
      <c r="L164" s="6">
        <v>84</v>
      </c>
      <c r="M164" s="140">
        <v>87</v>
      </c>
      <c r="N164" s="754">
        <f t="shared" si="25"/>
        <v>261</v>
      </c>
      <c r="O164" s="921">
        <f t="shared" si="26"/>
        <v>501</v>
      </c>
      <c r="P164" s="423" t="str">
        <f>IF(O164&gt;564,"Yes","NO")</f>
        <v>NO</v>
      </c>
      <c r="Q164" s="643" t="str">
        <f>IF(P164="Yes","M","")</f>
        <v/>
      </c>
    </row>
    <row r="165" spans="1:18" ht="17.100000000000001" customHeight="1" x14ac:dyDescent="0.3">
      <c r="A165" s="13" t="s">
        <v>280</v>
      </c>
      <c r="B165" s="767" t="s">
        <v>239</v>
      </c>
      <c r="C165" s="666" t="s">
        <v>134</v>
      </c>
      <c r="D165" s="69">
        <v>1941</v>
      </c>
      <c r="E165" s="556" t="s">
        <v>16</v>
      </c>
      <c r="F165" s="918"/>
      <c r="G165" s="920" t="s">
        <v>150</v>
      </c>
      <c r="H165" s="81">
        <v>128</v>
      </c>
      <c r="I165" s="86">
        <v>135</v>
      </c>
      <c r="J165" s="62">
        <f t="shared" ref="J165:J166" si="27">SUM($H165:$I165)</f>
        <v>263</v>
      </c>
      <c r="K165" s="81">
        <v>84</v>
      </c>
      <c r="L165" s="82">
        <v>86</v>
      </c>
      <c r="M165" s="86">
        <v>88</v>
      </c>
      <c r="N165" s="753">
        <f t="shared" ref="N165:N166" si="28">SUM($K165:$M165)</f>
        <v>258</v>
      </c>
      <c r="O165" s="555">
        <f t="shared" ref="O165:O166" si="29">$N165+$J165</f>
        <v>521</v>
      </c>
      <c r="P165" s="916" t="str">
        <f>IF(O165&gt;529,"Yes","NO")</f>
        <v>NO</v>
      </c>
      <c r="Q165" s="646" t="str">
        <f>IF(P165="Yes","G","")</f>
        <v/>
      </c>
    </row>
    <row r="166" spans="1:18" ht="17.100000000000001" customHeight="1" thickBot="1" x14ac:dyDescent="0.35">
      <c r="A166" s="13" t="s">
        <v>280</v>
      </c>
      <c r="B166" s="773" t="s">
        <v>300</v>
      </c>
      <c r="C166" s="660" t="s">
        <v>110</v>
      </c>
      <c r="D166" s="29">
        <v>1465</v>
      </c>
      <c r="E166" s="318" t="s">
        <v>16</v>
      </c>
      <c r="F166" s="119"/>
      <c r="G166" s="928" t="s">
        <v>149</v>
      </c>
      <c r="H166" s="139"/>
      <c r="I166" s="140"/>
      <c r="J166" s="754">
        <f t="shared" si="27"/>
        <v>0</v>
      </c>
      <c r="K166" s="139"/>
      <c r="L166" s="6"/>
      <c r="M166" s="140"/>
      <c r="N166" s="754">
        <f t="shared" si="28"/>
        <v>0</v>
      </c>
      <c r="O166" s="921">
        <f t="shared" si="29"/>
        <v>0</v>
      </c>
      <c r="P166" s="736" t="str">
        <f>IF(O166&gt;529,"Yes","NO")</f>
        <v>NO</v>
      </c>
      <c r="Q166" s="647" t="str">
        <f>IF(P166="Yes","G","")</f>
        <v/>
      </c>
    </row>
    <row r="167" spans="1:18" ht="17.100000000000001" customHeight="1" x14ac:dyDescent="0.3">
      <c r="A167" s="13" t="s">
        <v>280</v>
      </c>
      <c r="B167" s="768" t="s">
        <v>94</v>
      </c>
      <c r="C167" s="667" t="s">
        <v>310</v>
      </c>
      <c r="D167" s="27">
        <v>1803</v>
      </c>
      <c r="E167" s="924" t="s">
        <v>17</v>
      </c>
      <c r="F167" s="117"/>
      <c r="G167" s="752" t="s">
        <v>149</v>
      </c>
      <c r="H167" s="90">
        <v>115</v>
      </c>
      <c r="I167" s="91">
        <v>125</v>
      </c>
      <c r="J167" s="752">
        <f t="shared" ref="J167:J172" si="30">SUM($H167:$I167)</f>
        <v>240</v>
      </c>
      <c r="K167" s="90">
        <v>80</v>
      </c>
      <c r="L167" s="4">
        <v>75</v>
      </c>
      <c r="M167" s="91">
        <v>72</v>
      </c>
      <c r="N167" s="752">
        <f t="shared" ref="N167:N172" si="31">SUM($K167:$M167)</f>
        <v>227</v>
      </c>
      <c r="O167" s="925">
        <f t="shared" ref="O167:O172" si="32">$N167+$J167</f>
        <v>467</v>
      </c>
      <c r="P167" s="924" t="str">
        <f t="shared" ref="P167:P172" si="33">IF(O167&gt;508,"Yes","NO")</f>
        <v>NO</v>
      </c>
      <c r="Q167" s="637" t="str">
        <f t="shared" ref="Q167:Q172" si="34">IF(P167="Yes","S","")</f>
        <v/>
      </c>
    </row>
    <row r="168" spans="1:18" ht="17.100000000000001" customHeight="1" x14ac:dyDescent="0.3">
      <c r="A168" s="13" t="s">
        <v>280</v>
      </c>
      <c r="B168" s="767" t="s">
        <v>258</v>
      </c>
      <c r="C168" s="666" t="s">
        <v>196</v>
      </c>
      <c r="D168" s="69">
        <v>1291</v>
      </c>
      <c r="E168" s="556" t="s">
        <v>17</v>
      </c>
      <c r="F168" s="118"/>
      <c r="G168" s="753" t="s">
        <v>151</v>
      </c>
      <c r="H168" s="81">
        <v>108</v>
      </c>
      <c r="I168" s="86">
        <v>122</v>
      </c>
      <c r="J168" s="753">
        <f t="shared" si="30"/>
        <v>230</v>
      </c>
      <c r="K168" s="81">
        <v>87</v>
      </c>
      <c r="L168" s="82">
        <v>76</v>
      </c>
      <c r="M168" s="86">
        <v>69</v>
      </c>
      <c r="N168" s="753">
        <f t="shared" si="31"/>
        <v>232</v>
      </c>
      <c r="O168" s="555">
        <f t="shared" si="32"/>
        <v>462</v>
      </c>
      <c r="P168" s="556" t="str">
        <f t="shared" si="33"/>
        <v>NO</v>
      </c>
      <c r="Q168" s="639" t="str">
        <f t="shared" si="34"/>
        <v/>
      </c>
    </row>
    <row r="169" spans="1:18" ht="17.100000000000001" customHeight="1" x14ac:dyDescent="0.3">
      <c r="B169" s="767" t="s">
        <v>261</v>
      </c>
      <c r="C169" s="666" t="s">
        <v>290</v>
      </c>
      <c r="D169" s="69">
        <v>1577</v>
      </c>
      <c r="E169" s="556" t="s">
        <v>17</v>
      </c>
      <c r="F169" s="118"/>
      <c r="G169" s="753" t="s">
        <v>150</v>
      </c>
      <c r="H169" s="81">
        <v>123</v>
      </c>
      <c r="I169" s="86">
        <v>122</v>
      </c>
      <c r="J169" s="753">
        <f t="shared" si="30"/>
        <v>245</v>
      </c>
      <c r="K169" s="81">
        <v>82</v>
      </c>
      <c r="L169" s="82">
        <v>71</v>
      </c>
      <c r="M169" s="86">
        <v>54</v>
      </c>
      <c r="N169" s="753">
        <f t="shared" si="31"/>
        <v>207</v>
      </c>
      <c r="O169" s="555">
        <f t="shared" si="32"/>
        <v>452</v>
      </c>
      <c r="P169" s="556" t="str">
        <f t="shared" si="33"/>
        <v>NO</v>
      </c>
      <c r="Q169" s="639" t="str">
        <f t="shared" si="34"/>
        <v/>
      </c>
    </row>
    <row r="170" spans="1:18" ht="17.100000000000001" customHeight="1" x14ac:dyDescent="0.3">
      <c r="B170" s="767"/>
      <c r="C170" s="666" t="s">
        <v>301</v>
      </c>
      <c r="D170" s="69">
        <v>1207</v>
      </c>
      <c r="E170" s="556" t="s">
        <v>17</v>
      </c>
      <c r="F170" s="118"/>
      <c r="G170" s="753" t="s">
        <v>150</v>
      </c>
      <c r="H170" s="81">
        <v>100</v>
      </c>
      <c r="I170" s="86">
        <v>110</v>
      </c>
      <c r="J170" s="753">
        <f t="shared" si="30"/>
        <v>210</v>
      </c>
      <c r="K170" s="81">
        <v>79</v>
      </c>
      <c r="L170" s="82">
        <v>81</v>
      </c>
      <c r="M170" s="86">
        <v>75</v>
      </c>
      <c r="N170" s="753">
        <f t="shared" si="31"/>
        <v>235</v>
      </c>
      <c r="O170" s="555">
        <f t="shared" si="32"/>
        <v>445</v>
      </c>
      <c r="P170" s="556" t="str">
        <f t="shared" si="33"/>
        <v>NO</v>
      </c>
      <c r="Q170" s="639" t="str">
        <f t="shared" si="34"/>
        <v/>
      </c>
    </row>
    <row r="171" spans="1:18" ht="17.100000000000001" customHeight="1" x14ac:dyDescent="0.3">
      <c r="A171" s="13" t="s">
        <v>280</v>
      </c>
      <c r="B171" s="767" t="s">
        <v>279</v>
      </c>
      <c r="C171" s="666" t="s">
        <v>304</v>
      </c>
      <c r="D171" s="69">
        <v>1580</v>
      </c>
      <c r="E171" s="556" t="s">
        <v>17</v>
      </c>
      <c r="F171" s="118"/>
      <c r="G171" s="753" t="s">
        <v>150</v>
      </c>
      <c r="H171" s="81">
        <v>126</v>
      </c>
      <c r="I171" s="86">
        <v>118</v>
      </c>
      <c r="J171" s="753">
        <f t="shared" si="30"/>
        <v>244</v>
      </c>
      <c r="K171" s="81">
        <v>65</v>
      </c>
      <c r="L171" s="82">
        <v>75</v>
      </c>
      <c r="M171" s="86">
        <v>20</v>
      </c>
      <c r="N171" s="753">
        <f t="shared" si="31"/>
        <v>160</v>
      </c>
      <c r="O171" s="555">
        <f t="shared" si="32"/>
        <v>404</v>
      </c>
      <c r="P171" s="556" t="str">
        <f t="shared" si="33"/>
        <v>NO</v>
      </c>
      <c r="Q171" s="639" t="str">
        <f t="shared" si="34"/>
        <v/>
      </c>
    </row>
    <row r="172" spans="1:18" ht="17.100000000000001" customHeight="1" thickBot="1" x14ac:dyDescent="0.35">
      <c r="A172" s="13" t="s">
        <v>280</v>
      </c>
      <c r="B172" s="767" t="s">
        <v>233</v>
      </c>
      <c r="C172" s="666" t="s">
        <v>195</v>
      </c>
      <c r="D172" s="69">
        <v>2454</v>
      </c>
      <c r="E172" s="556" t="s">
        <v>17</v>
      </c>
      <c r="F172" s="918" t="s">
        <v>371</v>
      </c>
      <c r="G172" s="753" t="s">
        <v>150</v>
      </c>
      <c r="H172" s="81">
        <v>101</v>
      </c>
      <c r="I172" s="86">
        <v>107</v>
      </c>
      <c r="J172" s="753">
        <f t="shared" si="30"/>
        <v>208</v>
      </c>
      <c r="K172" s="81">
        <v>55</v>
      </c>
      <c r="L172" s="82">
        <v>43</v>
      </c>
      <c r="M172" s="86">
        <v>62</v>
      </c>
      <c r="N172" s="753">
        <f t="shared" si="31"/>
        <v>160</v>
      </c>
      <c r="O172" s="1096">
        <f t="shared" si="32"/>
        <v>368</v>
      </c>
      <c r="P172" s="1097" t="str">
        <f t="shared" si="33"/>
        <v>NO</v>
      </c>
      <c r="Q172" s="1098" t="str">
        <f t="shared" si="34"/>
        <v/>
      </c>
    </row>
    <row r="173" spans="1:18" ht="23.1" customHeight="1" thickTop="1" thickBot="1" x14ac:dyDescent="0.35">
      <c r="B173" s="967">
        <f>COUNTA(B157:B172)</f>
        <v>13</v>
      </c>
      <c r="C173" s="676" t="s">
        <v>64</v>
      </c>
      <c r="D173" s="1184" t="s">
        <v>68</v>
      </c>
      <c r="E173" s="1185"/>
      <c r="F173" s="1185"/>
      <c r="G173" s="1185"/>
      <c r="H173" s="1185"/>
      <c r="I173" s="1185"/>
      <c r="J173" s="1185"/>
      <c r="K173" s="1185"/>
      <c r="L173" s="1185"/>
      <c r="M173" s="1185"/>
      <c r="N173" s="1186"/>
      <c r="P173" s="184"/>
      <c r="Q173" s="184"/>
      <c r="R173" s="104"/>
    </row>
    <row r="175" spans="1:18" ht="27" hidden="1" customHeight="1" thickBot="1" x14ac:dyDescent="0.35">
      <c r="C175" s="1213" t="s">
        <v>81</v>
      </c>
      <c r="D175" s="1214"/>
      <c r="E175" s="1214"/>
      <c r="F175" s="1214"/>
      <c r="G175" s="1214"/>
      <c r="H175" s="1214"/>
      <c r="I175" s="1214"/>
      <c r="J175" s="1214"/>
      <c r="K175" s="1214"/>
      <c r="L175" s="1214"/>
      <c r="M175" s="1215"/>
      <c r="N175" s="67" t="s">
        <v>55</v>
      </c>
    </row>
    <row r="176" spans="1:18" ht="31.8" hidden="1" thickBot="1" x14ac:dyDescent="0.35">
      <c r="C176" s="681" t="s">
        <v>0</v>
      </c>
      <c r="D176" s="14" t="s">
        <v>1</v>
      </c>
      <c r="E176" s="405" t="s">
        <v>2</v>
      </c>
      <c r="F176" s="124" t="s">
        <v>77</v>
      </c>
      <c r="G176" s="497" t="s">
        <v>3</v>
      </c>
      <c r="H176" s="14" t="s">
        <v>4</v>
      </c>
      <c r="I176" s="14" t="s">
        <v>5</v>
      </c>
      <c r="J176" s="66" t="s">
        <v>37</v>
      </c>
      <c r="K176" s="34" t="s">
        <v>34</v>
      </c>
      <c r="L176" s="12" t="s">
        <v>35</v>
      </c>
      <c r="M176" s="14" t="s">
        <v>36</v>
      </c>
      <c r="N176" s="66" t="s">
        <v>37</v>
      </c>
      <c r="O176" s="459" t="s">
        <v>9</v>
      </c>
      <c r="P176" s="111" t="s">
        <v>79</v>
      </c>
      <c r="Q176" s="113" t="s">
        <v>61</v>
      </c>
    </row>
    <row r="177" spans="1:18" hidden="1" x14ac:dyDescent="0.3">
      <c r="C177" s="682" t="s">
        <v>75</v>
      </c>
      <c r="D177" s="98">
        <v>1362</v>
      </c>
      <c r="E177" s="351" t="s">
        <v>17</v>
      </c>
      <c r="F177" s="122">
        <v>414</v>
      </c>
      <c r="G177" s="498"/>
      <c r="H177" s="32"/>
      <c r="I177" s="133"/>
      <c r="J177" s="58">
        <f>SUM($G177:$I177)</f>
        <v>0</v>
      </c>
      <c r="K177" s="39"/>
      <c r="L177" s="5"/>
      <c r="M177" s="32"/>
      <c r="N177" s="58">
        <f>SUM($K177:$M177)</f>
        <v>0</v>
      </c>
      <c r="O177" s="453">
        <f>N177+J177</f>
        <v>0</v>
      </c>
      <c r="P177" s="96" t="str">
        <f>IF(O177&gt;509,"Yes","NO")</f>
        <v>NO</v>
      </c>
      <c r="Q177" s="109" t="str">
        <f>IF(P177="Yes","S","")</f>
        <v/>
      </c>
    </row>
    <row r="178" spans="1:18" hidden="1" x14ac:dyDescent="0.3">
      <c r="C178" s="680" t="s">
        <v>82</v>
      </c>
      <c r="D178" s="86"/>
      <c r="E178" s="354" t="s">
        <v>17</v>
      </c>
      <c r="F178" s="118">
        <v>408</v>
      </c>
      <c r="G178" s="462"/>
      <c r="H178" s="8"/>
      <c r="I178" s="129"/>
      <c r="J178" s="62">
        <f>SUM($G178:$I178)</f>
        <v>0</v>
      </c>
      <c r="K178" s="95"/>
      <c r="L178" s="82"/>
      <c r="M178" s="8"/>
      <c r="N178" s="62">
        <f>SUM($K178:$M178)</f>
        <v>0</v>
      </c>
      <c r="O178" s="454">
        <f>N178+J178</f>
        <v>0</v>
      </c>
      <c r="P178" s="84" t="str">
        <f>IF(O178&gt;509,"Yes","NO")</f>
        <v>NO</v>
      </c>
      <c r="Q178" s="77" t="str">
        <f>IF(P178="Yes","S","")</f>
        <v/>
      </c>
    </row>
    <row r="179" spans="1:18" ht="26.1" hidden="1" customHeight="1" thickBot="1" x14ac:dyDescent="0.35">
      <c r="C179" s="1230" t="s">
        <v>64</v>
      </c>
      <c r="D179" s="1231"/>
      <c r="E179" s="1232"/>
      <c r="F179" s="1230" t="s">
        <v>68</v>
      </c>
      <c r="G179" s="1231"/>
      <c r="H179" s="1231"/>
      <c r="I179" s="1231"/>
      <c r="J179" s="1231"/>
      <c r="K179" s="1231"/>
      <c r="L179" s="1231"/>
      <c r="M179" s="1231"/>
      <c r="N179" s="1231"/>
      <c r="O179" s="1231"/>
      <c r="P179" s="1231"/>
      <c r="Q179" s="1232"/>
    </row>
    <row r="180" spans="1:18" ht="16.2" thickBot="1" x14ac:dyDescent="0.35"/>
    <row r="181" spans="1:18" ht="25.5" customHeight="1" thickBot="1" x14ac:dyDescent="0.35">
      <c r="C181" s="1210" t="s">
        <v>39</v>
      </c>
      <c r="D181" s="1211"/>
      <c r="E181" s="1211"/>
      <c r="F181" s="1211"/>
      <c r="G181" s="1211"/>
      <c r="H181" s="1211"/>
      <c r="I181" s="1211"/>
      <c r="J181" s="1211"/>
      <c r="K181" s="1211"/>
      <c r="L181" s="1211"/>
      <c r="M181" s="1212"/>
      <c r="N181" s="461" t="s">
        <v>56</v>
      </c>
      <c r="O181" s="1187" t="s">
        <v>188</v>
      </c>
      <c r="P181" s="1188"/>
      <c r="Q181" s="590">
        <v>600</v>
      </c>
    </row>
    <row r="182" spans="1:18" ht="29.1" customHeight="1" thickBot="1" x14ac:dyDescent="0.35">
      <c r="B182" s="780" t="s">
        <v>154</v>
      </c>
      <c r="C182" s="670" t="s">
        <v>0</v>
      </c>
      <c r="D182" s="96" t="s">
        <v>1</v>
      </c>
      <c r="E182" s="351" t="s">
        <v>2</v>
      </c>
      <c r="F182" s="929" t="s">
        <v>108</v>
      </c>
      <c r="G182" s="485" t="s">
        <v>153</v>
      </c>
      <c r="H182" s="352" t="s">
        <v>94</v>
      </c>
      <c r="I182" s="518" t="s">
        <v>93</v>
      </c>
      <c r="J182" s="146" t="s">
        <v>37</v>
      </c>
      <c r="K182" s="97" t="s">
        <v>34</v>
      </c>
      <c r="L182" s="145" t="s">
        <v>35</v>
      </c>
      <c r="M182" s="143" t="s">
        <v>36</v>
      </c>
      <c r="N182" s="146" t="s">
        <v>37</v>
      </c>
      <c r="O182" s="526" t="s">
        <v>9</v>
      </c>
      <c r="P182" s="393" t="s">
        <v>79</v>
      </c>
      <c r="Q182" s="338" t="s">
        <v>61</v>
      </c>
      <c r="R182" s="114"/>
    </row>
    <row r="183" spans="1:18" ht="17.100000000000001" customHeight="1" x14ac:dyDescent="0.3">
      <c r="B183" s="766"/>
      <c r="C183" s="715"/>
      <c r="D183" s="182"/>
      <c r="E183" s="564" t="s">
        <v>14</v>
      </c>
      <c r="F183" s="910"/>
      <c r="G183" s="519"/>
      <c r="H183" s="35"/>
      <c r="I183" s="24"/>
      <c r="J183" s="57">
        <f>SUM($H183:$I183)</f>
        <v>0</v>
      </c>
      <c r="K183" s="35"/>
      <c r="L183" s="2"/>
      <c r="M183" s="24"/>
      <c r="N183" s="57">
        <f t="shared" ref="N183:N190" si="35">SUM($K183:$M183)</f>
        <v>0</v>
      </c>
      <c r="O183" s="530">
        <f t="shared" ref="O183:O186" si="36">$N183+$J183</f>
        <v>0</v>
      </c>
      <c r="P183" s="1220"/>
      <c r="Q183" s="1221"/>
    </row>
    <row r="184" spans="1:18" ht="17.100000000000001" customHeight="1" thickBot="1" x14ac:dyDescent="0.35">
      <c r="B184" s="764"/>
      <c r="C184" s="688"/>
      <c r="D184" s="176"/>
      <c r="E184" s="348" t="s">
        <v>14</v>
      </c>
      <c r="F184" s="909"/>
      <c r="G184" s="481"/>
      <c r="H184" s="37"/>
      <c r="I184" s="26"/>
      <c r="J184" s="59">
        <f t="shared" ref="J184:J190" si="37">SUM($H184:$I184)</f>
        <v>0</v>
      </c>
      <c r="K184" s="37"/>
      <c r="L184" s="6"/>
      <c r="M184" s="26"/>
      <c r="N184" s="59">
        <f t="shared" si="35"/>
        <v>0</v>
      </c>
      <c r="O184" s="525">
        <f t="shared" si="36"/>
        <v>0</v>
      </c>
      <c r="P184" s="1222"/>
      <c r="Q184" s="1223"/>
    </row>
    <row r="185" spans="1:18" ht="17.100000000000001" customHeight="1" x14ac:dyDescent="0.3">
      <c r="B185" s="766"/>
      <c r="C185" s="715"/>
      <c r="D185" s="182"/>
      <c r="E185" s="347" t="s">
        <v>15</v>
      </c>
      <c r="F185" s="910"/>
      <c r="G185" s="519"/>
      <c r="H185" s="35"/>
      <c r="I185" s="24"/>
      <c r="J185" s="57">
        <f t="shared" si="37"/>
        <v>0</v>
      </c>
      <c r="K185" s="35"/>
      <c r="L185" s="2"/>
      <c r="M185" s="24"/>
      <c r="N185" s="57">
        <f t="shared" si="35"/>
        <v>0</v>
      </c>
      <c r="O185" s="530">
        <f t="shared" si="36"/>
        <v>0</v>
      </c>
      <c r="P185" s="291" t="str">
        <f>IF(O185&gt;564,"Yes","NO")</f>
        <v>NO</v>
      </c>
      <c r="Q185" s="648" t="str">
        <f>IF(P185="Yes","M","")</f>
        <v/>
      </c>
    </row>
    <row r="186" spans="1:18" ht="17.100000000000001" customHeight="1" thickBot="1" x14ac:dyDescent="0.35">
      <c r="B186" s="764"/>
      <c r="C186" s="688"/>
      <c r="D186" s="176"/>
      <c r="E186" s="348" t="s">
        <v>15</v>
      </c>
      <c r="F186" s="909"/>
      <c r="G186" s="481"/>
      <c r="H186" s="37"/>
      <c r="I186" s="26"/>
      <c r="J186" s="59">
        <f t="shared" si="37"/>
        <v>0</v>
      </c>
      <c r="K186" s="37"/>
      <c r="L186" s="6"/>
      <c r="M186" s="26"/>
      <c r="N186" s="59">
        <f t="shared" si="35"/>
        <v>0</v>
      </c>
      <c r="O186" s="525">
        <f t="shared" si="36"/>
        <v>0</v>
      </c>
      <c r="P186" s="423" t="str">
        <f>IF(O186&gt;564,"Yes","NO")</f>
        <v>NO</v>
      </c>
      <c r="Q186" s="643" t="str">
        <f>IF(P186="Yes","M","")</f>
        <v/>
      </c>
    </row>
    <row r="187" spans="1:18" ht="17.100000000000001" customHeight="1" x14ac:dyDescent="0.3">
      <c r="B187" s="996" t="s">
        <v>236</v>
      </c>
      <c r="C187" s="997" t="s">
        <v>139</v>
      </c>
      <c r="D187" s="10">
        <v>1942</v>
      </c>
      <c r="E187" s="353" t="s">
        <v>16</v>
      </c>
      <c r="G187" s="482" t="s">
        <v>150</v>
      </c>
      <c r="H187" s="38">
        <v>125</v>
      </c>
      <c r="I187" s="31">
        <v>136</v>
      </c>
      <c r="J187" s="65">
        <f>SUM($H187:$I187)</f>
        <v>261</v>
      </c>
      <c r="K187" s="38">
        <v>91</v>
      </c>
      <c r="L187" s="3">
        <v>87</v>
      </c>
      <c r="M187" s="31">
        <v>88</v>
      </c>
      <c r="N187" s="65">
        <f>SUM($K187:$M187)</f>
        <v>266</v>
      </c>
      <c r="O187" s="524">
        <f>$N187+$J187</f>
        <v>527</v>
      </c>
      <c r="P187" s="196" t="str">
        <f>IF(O187&gt;529,"Yes","NO")</f>
        <v>NO</v>
      </c>
      <c r="Q187" s="644" t="str">
        <f>IF(P187="Yes","G","")</f>
        <v/>
      </c>
    </row>
    <row r="188" spans="1:18" ht="17.100000000000001" customHeight="1" thickBot="1" x14ac:dyDescent="0.35">
      <c r="B188" s="764"/>
      <c r="C188" s="688" t="s">
        <v>334</v>
      </c>
      <c r="D188" s="176">
        <v>1858</v>
      </c>
      <c r="E188" s="563" t="s">
        <v>16</v>
      </c>
      <c r="F188" s="909" t="s">
        <v>358</v>
      </c>
      <c r="G188" s="655" t="s">
        <v>307</v>
      </c>
      <c r="H188" s="37">
        <v>123</v>
      </c>
      <c r="I188" s="26">
        <v>120</v>
      </c>
      <c r="J188" s="59">
        <f>SUM($H188:$I188)</f>
        <v>243</v>
      </c>
      <c r="K188" s="37">
        <v>91</v>
      </c>
      <c r="L188" s="6">
        <v>92</v>
      </c>
      <c r="M188" s="26">
        <v>91</v>
      </c>
      <c r="N188" s="59">
        <f>SUM($K188:$M188)</f>
        <v>274</v>
      </c>
      <c r="O188" s="525">
        <f>$N188+$J188</f>
        <v>517</v>
      </c>
      <c r="P188" s="423" t="str">
        <f>IF(O188&gt;529,"Yes","NO")</f>
        <v>NO</v>
      </c>
      <c r="Q188" s="643" t="str">
        <f>IF(P188="Yes","G","")</f>
        <v/>
      </c>
    </row>
    <row r="189" spans="1:18" ht="17.100000000000001" customHeight="1" x14ac:dyDescent="0.3">
      <c r="B189" s="765" t="s">
        <v>312</v>
      </c>
      <c r="C189" s="776" t="s">
        <v>313</v>
      </c>
      <c r="D189" s="135">
        <v>1143</v>
      </c>
      <c r="E189" s="570" t="s">
        <v>17</v>
      </c>
      <c r="F189" s="907"/>
      <c r="G189" s="652" t="s">
        <v>149</v>
      </c>
      <c r="H189" s="9">
        <v>125</v>
      </c>
      <c r="I189" s="7">
        <v>121</v>
      </c>
      <c r="J189" s="60">
        <f t="shared" si="37"/>
        <v>246</v>
      </c>
      <c r="K189" s="9">
        <v>72</v>
      </c>
      <c r="L189" s="4">
        <v>87</v>
      </c>
      <c r="M189" s="7">
        <v>81</v>
      </c>
      <c r="N189" s="60">
        <f t="shared" si="35"/>
        <v>240</v>
      </c>
      <c r="O189" s="531">
        <f>$N189+$J189</f>
        <v>486</v>
      </c>
      <c r="P189" s="424" t="str">
        <f>IF(O189&gt;508,"Yes","NO")</f>
        <v>NO</v>
      </c>
      <c r="Q189" s="649" t="str">
        <f>IF(P189="Yes","S","")</f>
        <v/>
      </c>
    </row>
    <row r="190" spans="1:18" ht="17.100000000000001" customHeight="1" thickBot="1" x14ac:dyDescent="0.35">
      <c r="B190" s="764" t="s">
        <v>315</v>
      </c>
      <c r="C190" s="688" t="s">
        <v>316</v>
      </c>
      <c r="D190" s="176" t="s">
        <v>245</v>
      </c>
      <c r="E190" s="348" t="s">
        <v>17</v>
      </c>
      <c r="F190" s="909"/>
      <c r="G190" s="655" t="s">
        <v>150</v>
      </c>
      <c r="H190" s="37">
        <v>76</v>
      </c>
      <c r="I190" s="26">
        <v>104</v>
      </c>
      <c r="J190" s="59">
        <f t="shared" si="37"/>
        <v>180</v>
      </c>
      <c r="K190" s="37">
        <v>69</v>
      </c>
      <c r="L190" s="6">
        <v>73</v>
      </c>
      <c r="M190" s="26">
        <v>71</v>
      </c>
      <c r="N190" s="59">
        <f t="shared" si="35"/>
        <v>213</v>
      </c>
      <c r="O190" s="525">
        <f>$N190+$J190</f>
        <v>393</v>
      </c>
      <c r="P190" s="790" t="str">
        <f>IF(O190&gt;508,"Yes","NO")</f>
        <v>NO</v>
      </c>
      <c r="Q190" s="647" t="str">
        <f>IF(P190="Yes","S","")</f>
        <v/>
      </c>
    </row>
    <row r="191" spans="1:18" s="165" customFormat="1" ht="24" customHeight="1" thickBot="1" x14ac:dyDescent="0.35">
      <c r="A191" s="777"/>
      <c r="B191" s="967">
        <f>COUNTA(B183:B190)</f>
        <v>3</v>
      </c>
      <c r="C191" s="789" t="s">
        <v>64</v>
      </c>
      <c r="D191" s="1184" t="s">
        <v>68</v>
      </c>
      <c r="E191" s="1185"/>
      <c r="F191" s="1185"/>
      <c r="G191" s="1185"/>
      <c r="H191" s="1185"/>
      <c r="I191" s="1185"/>
      <c r="J191" s="1185"/>
      <c r="K191" s="1185"/>
      <c r="L191" s="1185"/>
      <c r="M191" s="1185"/>
      <c r="N191" s="1186"/>
      <c r="O191" s="446"/>
      <c r="P191" s="20"/>
      <c r="Q191" s="20"/>
      <c r="R191" s="164"/>
    </row>
    <row r="192" spans="1:18" ht="18.600000000000001" customHeight="1" x14ac:dyDescent="0.3"/>
    <row r="193" spans="1:15" ht="16.2" thickBot="1" x14ac:dyDescent="0.35"/>
    <row r="194" spans="1:15" ht="25.5" customHeight="1" thickBot="1" x14ac:dyDescent="0.35">
      <c r="C194" s="1213" t="s">
        <v>83</v>
      </c>
      <c r="D194" s="1214"/>
      <c r="E194" s="1214"/>
      <c r="F194" s="1214"/>
      <c r="G194" s="1214"/>
      <c r="H194" s="1214"/>
      <c r="I194" s="1214"/>
      <c r="J194" s="1215"/>
      <c r="K194" s="463" t="s">
        <v>54</v>
      </c>
      <c r="L194" s="1187" t="s">
        <v>188</v>
      </c>
      <c r="M194" s="1188"/>
      <c r="N194" s="590">
        <v>600</v>
      </c>
    </row>
    <row r="195" spans="1:15" ht="29.1" customHeight="1" thickBot="1" x14ac:dyDescent="0.35">
      <c r="B195" s="780" t="s">
        <v>154</v>
      </c>
      <c r="C195" s="719" t="s">
        <v>0</v>
      </c>
      <c r="D195" s="30" t="s">
        <v>1</v>
      </c>
      <c r="E195" s="406" t="s">
        <v>2</v>
      </c>
      <c r="F195" s="885" t="s">
        <v>108</v>
      </c>
      <c r="G195" s="485" t="s">
        <v>153</v>
      </c>
      <c r="H195" s="187" t="s">
        <v>40</v>
      </c>
      <c r="I195" s="107" t="s">
        <v>40</v>
      </c>
      <c r="J195" s="107" t="s">
        <v>41</v>
      </c>
      <c r="K195" s="89" t="s">
        <v>42</v>
      </c>
      <c r="L195" s="108" t="s">
        <v>9</v>
      </c>
      <c r="M195" s="932" t="s">
        <v>79</v>
      </c>
      <c r="N195" s="933" t="s">
        <v>61</v>
      </c>
      <c r="O195" s="455"/>
    </row>
    <row r="196" spans="1:15" ht="17.100000000000001" customHeight="1" x14ac:dyDescent="0.3">
      <c r="A196" s="13" t="s">
        <v>283</v>
      </c>
      <c r="B196" s="769" t="s">
        <v>248</v>
      </c>
      <c r="C196" s="661" t="s">
        <v>115</v>
      </c>
      <c r="D196" s="43" t="s">
        <v>10</v>
      </c>
      <c r="E196" s="347" t="s">
        <v>14</v>
      </c>
      <c r="F196" s="934"/>
      <c r="G196" s="519" t="s">
        <v>149</v>
      </c>
      <c r="H196" s="35">
        <v>88</v>
      </c>
      <c r="I196" s="2">
        <v>94</v>
      </c>
      <c r="J196" s="2">
        <v>186</v>
      </c>
      <c r="K196" s="24">
        <v>176</v>
      </c>
      <c r="L196" s="152">
        <f>SUM($H196:$K196)</f>
        <v>544</v>
      </c>
      <c r="M196" s="1233"/>
      <c r="N196" s="1234"/>
    </row>
    <row r="197" spans="1:15" ht="17.100000000000001" customHeight="1" thickBot="1" x14ac:dyDescent="0.35">
      <c r="A197" s="13" t="s">
        <v>283</v>
      </c>
      <c r="B197" s="782" t="s">
        <v>357</v>
      </c>
      <c r="C197" s="657" t="s">
        <v>346</v>
      </c>
      <c r="D197" s="134">
        <v>2</v>
      </c>
      <c r="E197" s="348" t="s">
        <v>14</v>
      </c>
      <c r="F197" s="909"/>
      <c r="G197" s="655" t="s">
        <v>151</v>
      </c>
      <c r="H197" s="37"/>
      <c r="I197" s="6"/>
      <c r="J197" s="6"/>
      <c r="K197" s="26"/>
      <c r="L197" s="154">
        <f t="shared" ref="L197" si="38">SUM($H197:$K197)</f>
        <v>0</v>
      </c>
      <c r="M197" s="1235"/>
      <c r="N197" s="1236"/>
    </row>
    <row r="198" spans="1:15" ht="17.100000000000001" customHeight="1" x14ac:dyDescent="0.3">
      <c r="A198" s="13" t="s">
        <v>283</v>
      </c>
      <c r="B198" s="766" t="s">
        <v>311</v>
      </c>
      <c r="C198" s="715" t="s">
        <v>131</v>
      </c>
      <c r="D198" s="182">
        <v>1194</v>
      </c>
      <c r="E198" s="347" t="s">
        <v>15</v>
      </c>
      <c r="F198" s="934"/>
      <c r="G198" s="936" t="s">
        <v>150</v>
      </c>
      <c r="H198" s="35">
        <v>190</v>
      </c>
      <c r="I198" s="2"/>
      <c r="J198" s="2">
        <v>185</v>
      </c>
      <c r="K198" s="24">
        <v>168</v>
      </c>
      <c r="L198" s="152">
        <f>SUM($H198:$K198)</f>
        <v>543</v>
      </c>
      <c r="M198" s="385" t="str">
        <f>IF(L198&gt;549,"Yes","NO")</f>
        <v>NO</v>
      </c>
      <c r="N198" s="937" t="str">
        <f>IF(M198="Yes","M","")</f>
        <v/>
      </c>
    </row>
    <row r="199" spans="1:15" ht="17.100000000000001" customHeight="1" x14ac:dyDescent="0.3">
      <c r="A199" s="13" t="s">
        <v>283</v>
      </c>
      <c r="B199" s="763" t="s">
        <v>253</v>
      </c>
      <c r="C199" s="696" t="s">
        <v>333</v>
      </c>
      <c r="D199" s="129">
        <v>2466</v>
      </c>
      <c r="E199" s="354" t="s">
        <v>15</v>
      </c>
      <c r="F199" s="935" t="s">
        <v>358</v>
      </c>
      <c r="G199" s="521" t="s">
        <v>150</v>
      </c>
      <c r="H199" s="95">
        <v>174</v>
      </c>
      <c r="I199" s="82">
        <v>172</v>
      </c>
      <c r="J199" s="82">
        <v>164</v>
      </c>
      <c r="K199" s="8"/>
      <c r="L199" s="168">
        <f>SUM($H199:$K199)</f>
        <v>510</v>
      </c>
      <c r="M199" s="569" t="str">
        <f>IF(L199&gt;549,"Yes","NO")</f>
        <v>NO</v>
      </c>
      <c r="N199" s="930" t="str">
        <f>IF(M199="Yes","M","")</f>
        <v/>
      </c>
    </row>
    <row r="200" spans="1:15" ht="17.100000000000001" customHeight="1" x14ac:dyDescent="0.3">
      <c r="A200" s="13" t="s">
        <v>283</v>
      </c>
      <c r="B200" s="763" t="s">
        <v>162</v>
      </c>
      <c r="C200" s="696" t="s">
        <v>136</v>
      </c>
      <c r="D200" s="129">
        <v>1668</v>
      </c>
      <c r="E200" s="354" t="s">
        <v>15</v>
      </c>
      <c r="F200" s="935"/>
      <c r="G200" s="551" t="s">
        <v>151</v>
      </c>
      <c r="H200" s="95">
        <v>83</v>
      </c>
      <c r="I200" s="82">
        <v>91</v>
      </c>
      <c r="J200" s="82">
        <v>167</v>
      </c>
      <c r="K200" s="8">
        <v>144</v>
      </c>
      <c r="L200" s="168">
        <f>SUM($H200:$K200)</f>
        <v>485</v>
      </c>
      <c r="M200" s="569" t="str">
        <f>IF(L200&gt;549,"Yes","NO")</f>
        <v>NO</v>
      </c>
      <c r="N200" s="930" t="str">
        <f>IF(M200="Yes","M","")</f>
        <v/>
      </c>
    </row>
    <row r="201" spans="1:15" ht="17.100000000000001" customHeight="1" thickBot="1" x14ac:dyDescent="0.35">
      <c r="A201" s="13" t="s">
        <v>283</v>
      </c>
      <c r="B201" s="764" t="s">
        <v>319</v>
      </c>
      <c r="C201" s="688" t="s">
        <v>215</v>
      </c>
      <c r="D201" s="176">
        <v>283</v>
      </c>
      <c r="E201" s="348" t="s">
        <v>15</v>
      </c>
      <c r="F201" s="909"/>
      <c r="G201" s="655" t="s">
        <v>155</v>
      </c>
      <c r="H201" s="37">
        <v>156</v>
      </c>
      <c r="J201" s="6">
        <v>149</v>
      </c>
      <c r="K201" s="6">
        <v>125</v>
      </c>
      <c r="L201" s="154">
        <f>SUM($H201:$K201)</f>
        <v>430</v>
      </c>
      <c r="M201" s="386" t="str">
        <f>IF(L201&gt;549,"Yes","NO")</f>
        <v>NO</v>
      </c>
      <c r="N201" s="931" t="str">
        <f>IF(M201="Yes","M","")</f>
        <v/>
      </c>
    </row>
    <row r="202" spans="1:15" ht="17.100000000000001" customHeight="1" x14ac:dyDescent="0.3">
      <c r="A202" s="13" t="s">
        <v>283</v>
      </c>
      <c r="B202" s="766" t="s">
        <v>239</v>
      </c>
      <c r="C202" s="715" t="s">
        <v>134</v>
      </c>
      <c r="D202" s="182">
        <v>1941</v>
      </c>
      <c r="E202" s="564" t="s">
        <v>16</v>
      </c>
      <c r="F202" s="910"/>
      <c r="G202" s="936" t="s">
        <v>150</v>
      </c>
      <c r="H202" s="35">
        <v>168</v>
      </c>
      <c r="I202" s="2">
        <v>166</v>
      </c>
      <c r="J202" s="2">
        <v>149</v>
      </c>
      <c r="K202" s="24"/>
      <c r="L202" s="152">
        <f t="shared" ref="L202:L203" si="39">SUM($H202:$K202)</f>
        <v>483</v>
      </c>
      <c r="M202" s="938" t="str">
        <f>IF(L202&gt;519,"Yes","NO")</f>
        <v>NO</v>
      </c>
      <c r="N202" s="862" t="str">
        <f>IF(M202="Yes","G","")</f>
        <v/>
      </c>
    </row>
    <row r="203" spans="1:15" ht="17.100000000000001" customHeight="1" thickBot="1" x14ac:dyDescent="0.35">
      <c r="A203" s="13" t="s">
        <v>283</v>
      </c>
      <c r="B203" s="972" t="s">
        <v>308</v>
      </c>
      <c r="C203" s="973" t="s">
        <v>178</v>
      </c>
      <c r="D203" s="1077">
        <v>309</v>
      </c>
      <c r="E203" s="724" t="s">
        <v>16</v>
      </c>
      <c r="F203" s="1078"/>
      <c r="G203" s="561" t="s">
        <v>307</v>
      </c>
      <c r="H203" s="36">
        <v>166</v>
      </c>
      <c r="I203" s="1">
        <v>176</v>
      </c>
      <c r="J203" s="1">
        <v>125</v>
      </c>
      <c r="K203" s="25"/>
      <c r="L203" s="153">
        <f t="shared" si="39"/>
        <v>467</v>
      </c>
      <c r="M203" s="1079" t="str">
        <f>IF(L203&gt;519,"Yes","NO")</f>
        <v>NO</v>
      </c>
      <c r="N203" s="1080" t="str">
        <f>IF(M203="Yes","G","")</f>
        <v/>
      </c>
    </row>
    <row r="204" spans="1:15" ht="17.100000000000001" customHeight="1" x14ac:dyDescent="0.3">
      <c r="A204" s="13" t="s">
        <v>283</v>
      </c>
      <c r="B204" s="766" t="s">
        <v>258</v>
      </c>
      <c r="C204" s="715" t="s">
        <v>196</v>
      </c>
      <c r="D204" s="182">
        <v>1291</v>
      </c>
      <c r="E204" s="347" t="s">
        <v>17</v>
      </c>
      <c r="F204" s="934"/>
      <c r="G204" s="936" t="s">
        <v>149</v>
      </c>
      <c r="H204" s="35">
        <v>149</v>
      </c>
      <c r="I204" s="2"/>
      <c r="J204" s="2">
        <v>145</v>
      </c>
      <c r="K204" s="24">
        <v>123</v>
      </c>
      <c r="L204" s="152">
        <f t="shared" ref="L204:L207" si="40">SUM($H204:$K204)</f>
        <v>417</v>
      </c>
      <c r="M204" s="385" t="str">
        <f t="shared" ref="M204:M207" si="41">IF(L204&gt;490,"Yes","NO")</f>
        <v>NO</v>
      </c>
      <c r="N204" s="937" t="str">
        <f t="shared" ref="N204:N207" si="42">IF(M204="Yes","S","")</f>
        <v/>
      </c>
    </row>
    <row r="205" spans="1:15" ht="17.100000000000001" customHeight="1" x14ac:dyDescent="0.3">
      <c r="A205" s="13" t="s">
        <v>283</v>
      </c>
      <c r="B205" s="763" t="s">
        <v>261</v>
      </c>
      <c r="C205" s="696" t="s">
        <v>289</v>
      </c>
      <c r="D205" s="129">
        <v>1577</v>
      </c>
      <c r="E205" s="573" t="s">
        <v>17</v>
      </c>
      <c r="F205" s="935"/>
      <c r="G205" s="551" t="s">
        <v>150</v>
      </c>
      <c r="H205" s="95">
        <v>82</v>
      </c>
      <c r="I205" s="82">
        <v>78</v>
      </c>
      <c r="J205" s="82">
        <v>138</v>
      </c>
      <c r="K205" s="8">
        <v>109</v>
      </c>
      <c r="L205" s="168">
        <f t="shared" si="40"/>
        <v>407</v>
      </c>
      <c r="M205" s="569" t="str">
        <f t="shared" si="41"/>
        <v>NO</v>
      </c>
      <c r="N205" s="930" t="str">
        <f t="shared" si="42"/>
        <v/>
      </c>
    </row>
    <row r="206" spans="1:15" ht="17.100000000000001" customHeight="1" x14ac:dyDescent="0.3">
      <c r="A206" s="13" t="s">
        <v>283</v>
      </c>
      <c r="B206" s="763" t="s">
        <v>279</v>
      </c>
      <c r="C206" s="696" t="s">
        <v>304</v>
      </c>
      <c r="D206" s="129">
        <v>1580</v>
      </c>
      <c r="E206" s="573" t="s">
        <v>17</v>
      </c>
      <c r="F206" s="935"/>
      <c r="G206" s="551" t="s">
        <v>150</v>
      </c>
      <c r="H206" s="95">
        <v>79</v>
      </c>
      <c r="I206" s="82">
        <v>80</v>
      </c>
      <c r="J206" s="82">
        <v>106</v>
      </c>
      <c r="K206" s="8">
        <v>43</v>
      </c>
      <c r="L206" s="168">
        <f t="shared" si="40"/>
        <v>308</v>
      </c>
      <c r="M206" s="569" t="str">
        <f t="shared" si="41"/>
        <v>NO</v>
      </c>
      <c r="N206" s="930" t="str">
        <f t="shared" si="42"/>
        <v/>
      </c>
    </row>
    <row r="207" spans="1:15" ht="17.100000000000001" customHeight="1" thickBot="1" x14ac:dyDescent="0.35">
      <c r="A207" s="13" t="s">
        <v>283</v>
      </c>
      <c r="B207" s="763" t="s">
        <v>233</v>
      </c>
      <c r="C207" s="696" t="s">
        <v>195</v>
      </c>
      <c r="D207" s="129">
        <v>2454</v>
      </c>
      <c r="E207" s="354" t="s">
        <v>17</v>
      </c>
      <c r="F207" s="935"/>
      <c r="G207" s="551" t="s">
        <v>150</v>
      </c>
      <c r="H207" s="95">
        <v>86</v>
      </c>
      <c r="I207" s="82"/>
      <c r="J207" s="82">
        <v>91</v>
      </c>
      <c r="K207" s="8">
        <v>65</v>
      </c>
      <c r="L207" s="168">
        <f t="shared" si="40"/>
        <v>242</v>
      </c>
      <c r="M207" s="569" t="str">
        <f t="shared" si="41"/>
        <v>NO</v>
      </c>
      <c r="N207" s="930" t="str">
        <f t="shared" si="42"/>
        <v/>
      </c>
    </row>
    <row r="208" spans="1:15" ht="24" customHeight="1" thickBot="1" x14ac:dyDescent="0.35">
      <c r="B208" s="967">
        <f>COUNTA(B196:B207)</f>
        <v>12</v>
      </c>
      <c r="C208" s="676" t="s">
        <v>64</v>
      </c>
      <c r="D208" s="1184" t="s">
        <v>67</v>
      </c>
      <c r="E208" s="1185"/>
      <c r="F208" s="1185"/>
      <c r="G208" s="1185"/>
      <c r="H208" s="1185"/>
      <c r="I208" s="1185"/>
      <c r="J208" s="1185"/>
      <c r="K208" s="1185"/>
      <c r="L208" s="1185"/>
      <c r="M208" s="1185"/>
      <c r="N208" s="1186"/>
      <c r="O208" s="447"/>
    </row>
    <row r="209" spans="1:23" x14ac:dyDescent="0.3">
      <c r="J209" s="20" t="s">
        <v>10</v>
      </c>
    </row>
    <row r="210" spans="1:23" ht="16.2" thickBot="1" x14ac:dyDescent="0.35"/>
    <row r="211" spans="1:23" ht="25.5" customHeight="1" thickBot="1" x14ac:dyDescent="0.35">
      <c r="C211" s="1227" t="s">
        <v>46</v>
      </c>
      <c r="D211" s="1228"/>
      <c r="E211" s="1228"/>
      <c r="F211" s="1228"/>
      <c r="G211" s="1228"/>
      <c r="H211" s="1228"/>
      <c r="I211" s="1228"/>
      <c r="J211" s="1228"/>
      <c r="K211" s="1228"/>
      <c r="L211" s="1228"/>
      <c r="M211" s="1228"/>
      <c r="N211" s="1229"/>
      <c r="O211" s="460" t="s">
        <v>52</v>
      </c>
      <c r="P211" s="1187" t="s">
        <v>188</v>
      </c>
      <c r="Q211" s="1188"/>
      <c r="R211" s="590">
        <v>600</v>
      </c>
    </row>
    <row r="212" spans="1:23" ht="30.9" customHeight="1" thickBot="1" x14ac:dyDescent="0.35">
      <c r="B212" s="780" t="s">
        <v>154</v>
      </c>
      <c r="C212" s="677" t="s">
        <v>0</v>
      </c>
      <c r="D212" s="444" t="s">
        <v>1</v>
      </c>
      <c r="E212" s="405" t="s">
        <v>2</v>
      </c>
      <c r="F212" s="194" t="s">
        <v>108</v>
      </c>
      <c r="G212" s="194" t="s">
        <v>153</v>
      </c>
      <c r="H212" s="497" t="s">
        <v>43</v>
      </c>
      <c r="I212" s="12" t="s">
        <v>44</v>
      </c>
      <c r="J212" s="14" t="s">
        <v>45</v>
      </c>
      <c r="K212" s="144" t="s">
        <v>47</v>
      </c>
      <c r="L212" s="34" t="s">
        <v>43</v>
      </c>
      <c r="M212" s="12" t="s">
        <v>44</v>
      </c>
      <c r="N212" s="14" t="s">
        <v>45</v>
      </c>
      <c r="O212" s="144" t="s">
        <v>47</v>
      </c>
      <c r="P212" s="532" t="s">
        <v>9</v>
      </c>
      <c r="Q212" s="420" t="s">
        <v>79</v>
      </c>
      <c r="R212" s="421" t="s">
        <v>61</v>
      </c>
      <c r="V212" s="147"/>
      <c r="W212" s="103"/>
    </row>
    <row r="213" spans="1:23" ht="17.100000000000001" customHeight="1" x14ac:dyDescent="0.3">
      <c r="A213" s="13" t="s">
        <v>341</v>
      </c>
      <c r="B213" s="781" t="s">
        <v>248</v>
      </c>
      <c r="C213" s="659" t="s">
        <v>115</v>
      </c>
      <c r="D213" s="110">
        <v>1383</v>
      </c>
      <c r="E213" s="351" t="s">
        <v>14</v>
      </c>
      <c r="F213" s="542" t="s">
        <v>361</v>
      </c>
      <c r="G213" s="485" t="s">
        <v>149</v>
      </c>
      <c r="H213" s="39">
        <v>94</v>
      </c>
      <c r="I213" s="5">
        <v>88</v>
      </c>
      <c r="J213" s="32">
        <v>85</v>
      </c>
      <c r="K213" s="58">
        <f t="shared" ref="K213:K216" si="43">SUM($H213:$J213)</f>
        <v>267</v>
      </c>
      <c r="L213" s="39">
        <v>99</v>
      </c>
      <c r="M213" s="5">
        <v>92</v>
      </c>
      <c r="N213" s="32">
        <v>85</v>
      </c>
      <c r="O213" s="58">
        <f t="shared" ref="O213:O216" si="44">SUM($L213:$N213)</f>
        <v>276</v>
      </c>
      <c r="P213" s="526">
        <f t="shared" ref="P213:P216" si="45">SUM(K213+O213)</f>
        <v>543</v>
      </c>
      <c r="Q213" s="1216"/>
      <c r="R213" s="1217"/>
    </row>
    <row r="214" spans="1:23" ht="17.100000000000001" customHeight="1" thickBot="1" x14ac:dyDescent="0.35">
      <c r="A214" s="13" t="s">
        <v>341</v>
      </c>
      <c r="B214" s="773"/>
      <c r="C214" s="665"/>
      <c r="D214" s="44"/>
      <c r="E214" s="346" t="s">
        <v>14</v>
      </c>
      <c r="F214" s="541"/>
      <c r="G214" s="520"/>
      <c r="H214" s="36"/>
      <c r="I214" s="1"/>
      <c r="J214" s="25"/>
      <c r="K214" s="59">
        <f t="shared" si="43"/>
        <v>0</v>
      </c>
      <c r="L214" s="37"/>
      <c r="M214" s="6"/>
      <c r="N214" s="26"/>
      <c r="O214" s="59">
        <f t="shared" si="44"/>
        <v>0</v>
      </c>
      <c r="P214" s="525">
        <f t="shared" si="45"/>
        <v>0</v>
      </c>
      <c r="Q214" s="1218"/>
      <c r="R214" s="1219"/>
    </row>
    <row r="215" spans="1:23" ht="17.100000000000001" customHeight="1" thickBot="1" x14ac:dyDescent="0.35">
      <c r="A215" s="13" t="s">
        <v>341</v>
      </c>
      <c r="B215" s="771"/>
      <c r="C215" s="668"/>
      <c r="D215" s="71"/>
      <c r="E215" s="349" t="s">
        <v>15</v>
      </c>
      <c r="F215" s="791"/>
      <c r="G215" s="792"/>
      <c r="H215" s="762"/>
      <c r="I215" s="19"/>
      <c r="J215" s="45"/>
      <c r="K215" s="63">
        <f t="shared" si="43"/>
        <v>0</v>
      </c>
      <c r="L215" s="762"/>
      <c r="M215" s="19"/>
      <c r="N215" s="45"/>
      <c r="O215" s="63">
        <f t="shared" si="44"/>
        <v>0</v>
      </c>
      <c r="P215" s="793">
        <f t="shared" si="45"/>
        <v>0</v>
      </c>
      <c r="Q215" s="794" t="str">
        <f>IF(P215&gt;539,"Yes","NO")</f>
        <v>NO</v>
      </c>
      <c r="R215" s="648" t="str">
        <f>IF(Q215="Yes","M","")</f>
        <v/>
      </c>
      <c r="V215" s="13"/>
    </row>
    <row r="216" spans="1:23" ht="17.100000000000001" customHeight="1" x14ac:dyDescent="0.3">
      <c r="A216" s="13" t="s">
        <v>341</v>
      </c>
      <c r="B216" s="770" t="s">
        <v>233</v>
      </c>
      <c r="C216" s="665" t="s">
        <v>195</v>
      </c>
      <c r="D216" s="44">
        <v>2454</v>
      </c>
      <c r="E216" s="346" t="s">
        <v>17</v>
      </c>
      <c r="F216" s="541" t="s">
        <v>371</v>
      </c>
      <c r="G216" s="561" t="s">
        <v>150</v>
      </c>
      <c r="H216" s="36">
        <v>33</v>
      </c>
      <c r="I216" s="1">
        <v>50</v>
      </c>
      <c r="J216" s="25">
        <v>37</v>
      </c>
      <c r="K216" s="61">
        <f t="shared" si="43"/>
        <v>120</v>
      </c>
      <c r="L216" s="36">
        <v>60</v>
      </c>
      <c r="M216" s="1">
        <v>30</v>
      </c>
      <c r="N216" s="25">
        <v>34</v>
      </c>
      <c r="O216" s="65">
        <f t="shared" si="44"/>
        <v>124</v>
      </c>
      <c r="P216" s="1039">
        <f t="shared" si="45"/>
        <v>244</v>
      </c>
      <c r="Q216" s="302" t="str">
        <f>IF(P216&gt;479,"Yes","NO")</f>
        <v>NO</v>
      </c>
      <c r="R216" s="645" t="str">
        <f>IF(Q216="Yes","S","")</f>
        <v/>
      </c>
      <c r="V216" s="13"/>
    </row>
    <row r="217" spans="1:23" ht="17.100000000000001" customHeight="1" thickBot="1" x14ac:dyDescent="0.35">
      <c r="A217" s="13" t="s">
        <v>341</v>
      </c>
      <c r="B217" s="773"/>
      <c r="C217" s="660"/>
      <c r="D217" s="29"/>
      <c r="E217" s="348"/>
      <c r="F217" s="540"/>
      <c r="G217" s="655"/>
      <c r="H217" s="37"/>
      <c r="I217" s="6"/>
      <c r="J217" s="26"/>
      <c r="K217" s="59"/>
      <c r="L217" s="37"/>
      <c r="M217" s="6"/>
      <c r="N217" s="26"/>
      <c r="O217" s="59"/>
      <c r="P217" s="533"/>
      <c r="Q217" s="234"/>
      <c r="R217" s="643"/>
      <c r="V217" s="13"/>
    </row>
    <row r="218" spans="1:23" ht="32.1" customHeight="1" thickBot="1" x14ac:dyDescent="0.35">
      <c r="B218" s="967">
        <f>COUNTA(B213:B217)</f>
        <v>2</v>
      </c>
      <c r="C218" s="676" t="s">
        <v>64</v>
      </c>
      <c r="D218" s="1184" t="s">
        <v>66</v>
      </c>
      <c r="E218" s="1185"/>
      <c r="F218" s="1185"/>
      <c r="G218" s="1185"/>
      <c r="H218" s="1185"/>
      <c r="I218" s="1185"/>
      <c r="J218" s="1185"/>
      <c r="K218" s="1185"/>
      <c r="L218" s="1185"/>
      <c r="M218" s="1185"/>
      <c r="N218" s="1186"/>
      <c r="P218" s="10"/>
      <c r="Q218" s="10"/>
      <c r="R218" s="10"/>
      <c r="S218" s="10"/>
    </row>
    <row r="219" spans="1:23" ht="16.2" thickBot="1" x14ac:dyDescent="0.35">
      <c r="P219" s="10"/>
      <c r="Q219" s="10"/>
      <c r="R219" s="10"/>
      <c r="S219" s="10"/>
    </row>
    <row r="220" spans="1:23" ht="24" customHeight="1" thickBot="1" x14ac:dyDescent="0.35">
      <c r="B220" s="983">
        <f>SUM(B218+B208+B191+B173+B138+B116+B106+B97+B89+B72+B35)</f>
        <v>89</v>
      </c>
      <c r="C220" s="982" t="s">
        <v>340</v>
      </c>
    </row>
  </sheetData>
  <sortState xmlns:xlrd2="http://schemas.microsoft.com/office/spreadsheetml/2017/richdata2" ref="B59:P71">
    <sortCondition descending="1" ref="N59:N71"/>
  </sortState>
  <mergeCells count="65">
    <mergeCell ref="B4:N4"/>
    <mergeCell ref="B2:N2"/>
    <mergeCell ref="L39:M39"/>
    <mergeCell ref="M8:N9"/>
    <mergeCell ref="D16:M16"/>
    <mergeCell ref="D35:M35"/>
    <mergeCell ref="K6:L6"/>
    <mergeCell ref="C19:I19"/>
    <mergeCell ref="K19:L19"/>
    <mergeCell ref="C37:I37"/>
    <mergeCell ref="K37:L37"/>
    <mergeCell ref="L21:M23"/>
    <mergeCell ref="C6:I6"/>
    <mergeCell ref="R143:S144"/>
    <mergeCell ref="C89:J89"/>
    <mergeCell ref="N46:O46"/>
    <mergeCell ref="D72:M72"/>
    <mergeCell ref="C46:L46"/>
    <mergeCell ref="P133:Q133"/>
    <mergeCell ref="D106:M106"/>
    <mergeCell ref="D129:M129"/>
    <mergeCell ref="D138:N138"/>
    <mergeCell ref="N108:O108"/>
    <mergeCell ref="C131:L131"/>
    <mergeCell ref="O48:P49"/>
    <mergeCell ref="C99:K99"/>
    <mergeCell ref="B140:M140"/>
    <mergeCell ref="C92:L92"/>
    <mergeCell ref="D97:M97"/>
    <mergeCell ref="C211:N211"/>
    <mergeCell ref="C194:J194"/>
    <mergeCell ref="C179:E179"/>
    <mergeCell ref="F179:Q179"/>
    <mergeCell ref="M196:N197"/>
    <mergeCell ref="D191:N191"/>
    <mergeCell ref="P211:Q211"/>
    <mergeCell ref="P183:Q184"/>
    <mergeCell ref="O181:P181"/>
    <mergeCell ref="D208:N208"/>
    <mergeCell ref="D44:M44"/>
    <mergeCell ref="B75:J75"/>
    <mergeCell ref="L75:M75"/>
    <mergeCell ref="N92:O92"/>
    <mergeCell ref="N99:O99"/>
    <mergeCell ref="P157:Q159"/>
    <mergeCell ref="C155:M155"/>
    <mergeCell ref="O155:P155"/>
    <mergeCell ref="D173:N173"/>
    <mergeCell ref="D152:N152"/>
    <mergeCell ref="D218:N218"/>
    <mergeCell ref="O131:P131"/>
    <mergeCell ref="O140:P140"/>
    <mergeCell ref="C108:K108"/>
    <mergeCell ref="H76:O76"/>
    <mergeCell ref="B76:G76"/>
    <mergeCell ref="L194:M194"/>
    <mergeCell ref="L141:O141"/>
    <mergeCell ref="O120:P120"/>
    <mergeCell ref="C118:K118"/>
    <mergeCell ref="P141:R141"/>
    <mergeCell ref="D141:G141"/>
    <mergeCell ref="H141:K141"/>
    <mergeCell ref="C181:M181"/>
    <mergeCell ref="C175:M175"/>
    <mergeCell ref="Q213:R214"/>
  </mergeCells>
  <phoneticPr fontId="23" type="noConversion"/>
  <pageMargins left="0.2" right="0.2" top="0.2" bottom="0.2" header="0.30000000000000004" footer="0.30000000000000004"/>
  <pageSetup paperSize="9" scale="5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69"/>
  <sheetViews>
    <sheetView zoomScale="90" zoomScaleNormal="90" workbookViewId="0">
      <selection activeCell="D148" sqref="D1:D1048576"/>
    </sheetView>
  </sheetViews>
  <sheetFormatPr defaultColWidth="8.88671875" defaultRowHeight="15.6" x14ac:dyDescent="0.3"/>
  <cols>
    <col min="1" max="1" width="6.5546875" style="689" customWidth="1"/>
    <col min="2" max="2" width="5" style="13" customWidth="1"/>
    <col min="3" max="3" width="26" style="671" customWidth="1"/>
    <col min="4" max="4" width="9.44140625" style="72" customWidth="1"/>
    <col min="5" max="5" width="9" style="339" customWidth="1"/>
    <col min="6" max="8" width="6.44140625" style="20" customWidth="1"/>
    <col min="9" max="9" width="6.88671875" style="20" customWidth="1"/>
    <col min="10" max="10" width="6.44140625" style="20" customWidth="1"/>
    <col min="11" max="11" width="6.6640625" style="20" customWidth="1"/>
    <col min="12" max="12" width="9.33203125" style="130" customWidth="1"/>
    <col min="13" max="13" width="9.33203125" style="20" customWidth="1"/>
    <col min="14" max="14" width="10" style="20" customWidth="1"/>
    <col min="15" max="15" width="10" style="10" customWidth="1"/>
    <col min="16" max="16" width="10.44140625" style="20" customWidth="1"/>
    <col min="17" max="17" width="1.6640625" style="20" customWidth="1"/>
    <col min="18" max="18" width="19.44140625" style="20" customWidth="1"/>
    <col min="19" max="16384" width="8.88671875" style="20"/>
  </cols>
  <sheetData>
    <row r="1" spans="1:18" ht="16.2" thickBot="1" x14ac:dyDescent="0.35"/>
    <row r="2" spans="1:18" ht="21" thickBot="1" x14ac:dyDescent="0.35">
      <c r="C2" s="1142" t="s">
        <v>107</v>
      </c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4"/>
    </row>
    <row r="3" spans="1:18" ht="16.2" thickBot="1" x14ac:dyDescent="0.35"/>
    <row r="4" spans="1:18" ht="27" customHeight="1" thickBot="1" x14ac:dyDescent="0.35">
      <c r="C4" s="1164" t="s">
        <v>228</v>
      </c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  <c r="O4" s="1165"/>
      <c r="P4" s="1165"/>
      <c r="Q4" s="1165"/>
      <c r="R4" s="1166"/>
    </row>
    <row r="5" spans="1:18" ht="6.75" customHeight="1" thickBot="1" x14ac:dyDescent="0.35"/>
    <row r="6" spans="1:18" ht="24.6" customHeight="1" thickBot="1" x14ac:dyDescent="0.35">
      <c r="C6" s="1294" t="s">
        <v>23</v>
      </c>
      <c r="D6" s="1295"/>
      <c r="E6" s="1295"/>
      <c r="F6" s="1295"/>
      <c r="G6" s="1295"/>
      <c r="H6" s="1295"/>
      <c r="I6" s="1295"/>
      <c r="J6" s="1308" t="s">
        <v>186</v>
      </c>
      <c r="K6" s="1309"/>
      <c r="L6" s="1310"/>
      <c r="M6" s="579">
        <v>60</v>
      </c>
      <c r="N6" s="1315" t="s">
        <v>189</v>
      </c>
      <c r="O6" s="1316"/>
      <c r="P6" s="600">
        <v>600</v>
      </c>
      <c r="Q6" s="376"/>
      <c r="R6" s="1126" t="s">
        <v>185</v>
      </c>
    </row>
    <row r="7" spans="1:18" ht="21" hidden="1" customHeight="1" thickBot="1" x14ac:dyDescent="0.35">
      <c r="B7" s="759" t="s">
        <v>154</v>
      </c>
      <c r="C7" s="664" t="s">
        <v>0</v>
      </c>
      <c r="D7" s="444" t="s">
        <v>1</v>
      </c>
      <c r="E7" s="340" t="s">
        <v>2</v>
      </c>
      <c r="F7" s="41" t="s">
        <v>48</v>
      </c>
      <c r="G7" s="16">
        <v>10</v>
      </c>
      <c r="H7" s="16">
        <v>9</v>
      </c>
      <c r="I7" s="16">
        <v>8</v>
      </c>
      <c r="J7" s="16">
        <v>7</v>
      </c>
      <c r="K7" s="17">
        <v>6</v>
      </c>
      <c r="L7" s="52">
        <v>0</v>
      </c>
      <c r="M7" s="108" t="s">
        <v>9</v>
      </c>
      <c r="N7" s="175" t="s">
        <v>49</v>
      </c>
      <c r="O7" s="356" t="s">
        <v>88</v>
      </c>
      <c r="P7" s="336" t="s">
        <v>89</v>
      </c>
      <c r="Q7" s="376"/>
      <c r="R7" s="1127"/>
    </row>
    <row r="8" spans="1:18" ht="17.25" hidden="1" customHeight="1" thickBot="1" x14ac:dyDescent="0.35">
      <c r="A8" s="689" t="s">
        <v>265</v>
      </c>
      <c r="B8" s="30"/>
      <c r="C8" s="667" t="s">
        <v>197</v>
      </c>
      <c r="D8" s="570">
        <v>786</v>
      </c>
      <c r="E8" s="341" t="s">
        <v>18</v>
      </c>
      <c r="F8" s="18"/>
      <c r="G8" s="5"/>
      <c r="H8" s="5"/>
      <c r="I8" s="5"/>
      <c r="J8" s="5"/>
      <c r="K8" s="98"/>
      <c r="L8" s="10"/>
      <c r="M8" s="108">
        <f>SUM($F8:$K8)</f>
        <v>0</v>
      </c>
      <c r="N8" s="132">
        <f>(F8/10)+(G8/10)+(H8/9)+(I8/8)+(J8/7)+(K8/6)+L8</f>
        <v>0</v>
      </c>
      <c r="O8" s="1326"/>
      <c r="P8" s="1168"/>
      <c r="Q8" s="376"/>
      <c r="R8" s="586" t="str">
        <f>IF(N8=0,"",IF(N8=60,"","Shot count Error"))</f>
        <v/>
      </c>
    </row>
    <row r="9" spans="1:18" ht="17.25" hidden="1" customHeight="1" thickBot="1" x14ac:dyDescent="0.35">
      <c r="A9" s="689" t="s">
        <v>265</v>
      </c>
      <c r="B9" s="30"/>
      <c r="C9" s="660"/>
      <c r="D9" s="563"/>
      <c r="E9" s="342" t="s">
        <v>18</v>
      </c>
      <c r="F9" s="139"/>
      <c r="G9" s="6"/>
      <c r="H9" s="6"/>
      <c r="I9" s="6"/>
      <c r="J9" s="6"/>
      <c r="K9" s="140"/>
      <c r="L9" s="176"/>
      <c r="M9" s="154">
        <f t="shared" ref="M9:M20" si="0">SUM($F9:$K9)</f>
        <v>0</v>
      </c>
      <c r="N9" s="55">
        <f t="shared" ref="N9:N17" si="1">(F9/10)+(G9/10)+(H9/9)+(I9/8)+(J9/7)+(K9/6)+L9</f>
        <v>0</v>
      </c>
      <c r="O9" s="1327"/>
      <c r="P9" s="1170"/>
      <c r="Q9" s="376"/>
      <c r="R9" s="586" t="str">
        <f t="shared" ref="R9:R20" si="2">IF(N9=0,"",IF(N9=60,"","Shot count Error"))</f>
        <v/>
      </c>
    </row>
    <row r="10" spans="1:18" ht="17.25" hidden="1" customHeight="1" thickBot="1" x14ac:dyDescent="0.35">
      <c r="A10" s="689" t="s">
        <v>265</v>
      </c>
      <c r="B10" s="30"/>
      <c r="C10" s="667" t="s">
        <v>143</v>
      </c>
      <c r="D10" s="570">
        <v>1786</v>
      </c>
      <c r="E10" s="343" t="s">
        <v>14</v>
      </c>
      <c r="F10" s="18"/>
      <c r="G10" s="5"/>
      <c r="H10" s="5"/>
      <c r="I10" s="5"/>
      <c r="J10" s="5"/>
      <c r="K10" s="98"/>
      <c r="L10" s="10"/>
      <c r="M10" s="108">
        <f t="shared" si="0"/>
        <v>0</v>
      </c>
      <c r="N10" s="132">
        <f t="shared" si="1"/>
        <v>0</v>
      </c>
      <c r="O10" s="385" t="str">
        <f>IF(M10&gt;589,"Yes","NO")</f>
        <v>NO</v>
      </c>
      <c r="P10" s="619" t="str">
        <f>IF(O10="yes","HM","")</f>
        <v/>
      </c>
      <c r="Q10" s="376"/>
      <c r="R10" s="586" t="str">
        <f t="shared" si="2"/>
        <v/>
      </c>
    </row>
    <row r="11" spans="1:18" ht="17.25" hidden="1" customHeight="1" thickBot="1" x14ac:dyDescent="0.35">
      <c r="A11" s="689" t="s">
        <v>265</v>
      </c>
      <c r="B11" s="30"/>
      <c r="C11" s="660"/>
      <c r="D11" s="563"/>
      <c r="E11" s="318" t="s">
        <v>14</v>
      </c>
      <c r="F11" s="18"/>
      <c r="G11" s="5"/>
      <c r="H11" s="5"/>
      <c r="I11" s="5"/>
      <c r="J11" s="5"/>
      <c r="K11" s="98"/>
      <c r="L11" s="10"/>
      <c r="M11" s="154">
        <f t="shared" si="0"/>
        <v>0</v>
      </c>
      <c r="N11" s="55">
        <f t="shared" si="1"/>
        <v>0</v>
      </c>
      <c r="O11" s="386" t="str">
        <f>IF(M11&gt;589,"Yes","NO")</f>
        <v>NO</v>
      </c>
      <c r="P11" s="620" t="str">
        <f>IF(O11="yes","HM","")</f>
        <v/>
      </c>
      <c r="Q11" s="376"/>
      <c r="R11" s="586" t="str">
        <f t="shared" si="2"/>
        <v/>
      </c>
    </row>
    <row r="12" spans="1:18" ht="17.25" hidden="1" customHeight="1" thickBot="1" x14ac:dyDescent="0.35">
      <c r="A12" s="689" t="s">
        <v>265</v>
      </c>
      <c r="B12" s="30"/>
      <c r="C12" s="659" t="s">
        <v>115</v>
      </c>
      <c r="D12" s="30">
        <v>1383</v>
      </c>
      <c r="E12" s="412" t="s">
        <v>15</v>
      </c>
      <c r="F12" s="18"/>
      <c r="G12" s="5"/>
      <c r="H12" s="5"/>
      <c r="I12" s="5"/>
      <c r="J12" s="5"/>
      <c r="K12" s="98"/>
      <c r="L12" s="10"/>
      <c r="M12" s="108">
        <f t="shared" si="0"/>
        <v>0</v>
      </c>
      <c r="N12" s="132">
        <f t="shared" si="1"/>
        <v>0</v>
      </c>
      <c r="O12" s="471" t="str">
        <f>IF(M12&gt;575,"Yes","NO")</f>
        <v>NO</v>
      </c>
      <c r="P12" s="621" t="str">
        <f>IF(O12="yes","M","")</f>
        <v/>
      </c>
      <c r="Q12" s="376"/>
      <c r="R12" s="586" t="str">
        <f t="shared" si="2"/>
        <v/>
      </c>
    </row>
    <row r="13" spans="1:18" ht="17.25" hidden="1" customHeight="1" thickBot="1" x14ac:dyDescent="0.35">
      <c r="A13" s="689" t="s">
        <v>265</v>
      </c>
      <c r="B13" s="30"/>
      <c r="C13" s="665" t="s">
        <v>168</v>
      </c>
      <c r="D13" s="724">
        <v>1475</v>
      </c>
      <c r="E13" s="342" t="s">
        <v>15</v>
      </c>
      <c r="F13" s="18"/>
      <c r="G13" s="5"/>
      <c r="H13" s="5"/>
      <c r="I13" s="5"/>
      <c r="J13" s="5"/>
      <c r="K13" s="98"/>
      <c r="L13" s="10"/>
      <c r="M13" s="168">
        <f t="shared" si="0"/>
        <v>0</v>
      </c>
      <c r="N13" s="568">
        <f t="shared" ref="N13" si="3">(F13/10)+(G13/10)+(H13/9)+(I13/8)+(J13/7)+(K13/6)+L13</f>
        <v>0</v>
      </c>
      <c r="O13" s="569" t="str">
        <f>IF(M13&gt;575,"Yes","NO")</f>
        <v>NO</v>
      </c>
      <c r="P13" s="622" t="str">
        <f>IF(O13="yes","M","")</f>
        <v/>
      </c>
      <c r="Q13" s="376"/>
      <c r="R13" s="586" t="str">
        <f t="shared" si="2"/>
        <v/>
      </c>
    </row>
    <row r="14" spans="1:18" ht="17.25" hidden="1" customHeight="1" thickBot="1" x14ac:dyDescent="0.35">
      <c r="A14" s="689" t="s">
        <v>265</v>
      </c>
      <c r="B14" s="30"/>
      <c r="C14" s="986"/>
      <c r="D14" s="1377"/>
      <c r="E14" s="371" t="s">
        <v>15</v>
      </c>
      <c r="F14" s="18"/>
      <c r="G14" s="5"/>
      <c r="H14" s="5"/>
      <c r="I14" s="5"/>
      <c r="J14" s="5"/>
      <c r="K14" s="98"/>
      <c r="L14" s="10"/>
      <c r="M14" s="154">
        <f t="shared" si="0"/>
        <v>0</v>
      </c>
      <c r="N14" s="55">
        <f t="shared" si="1"/>
        <v>0</v>
      </c>
      <c r="O14" s="386" t="str">
        <f>IF(M14&gt;575,"Yes","NO")</f>
        <v>NO</v>
      </c>
      <c r="P14" s="620" t="str">
        <f>IF(O14="yes","M","")</f>
        <v/>
      </c>
      <c r="Q14" s="376"/>
      <c r="R14" s="586" t="str">
        <f t="shared" si="2"/>
        <v/>
      </c>
    </row>
    <row r="15" spans="1:18" ht="17.25" hidden="1" customHeight="1" thickBot="1" x14ac:dyDescent="0.35">
      <c r="A15" s="689" t="s">
        <v>265</v>
      </c>
      <c r="B15" s="30"/>
      <c r="C15" s="661" t="s">
        <v>163</v>
      </c>
      <c r="D15" s="564">
        <v>1059</v>
      </c>
      <c r="E15" s="343" t="s">
        <v>16</v>
      </c>
      <c r="F15" s="18"/>
      <c r="G15" s="5"/>
      <c r="H15" s="5"/>
      <c r="I15" s="5"/>
      <c r="J15" s="5"/>
      <c r="K15" s="98"/>
      <c r="L15" s="10"/>
      <c r="M15" s="108">
        <f t="shared" si="0"/>
        <v>0</v>
      </c>
      <c r="N15" s="132">
        <f t="shared" si="1"/>
        <v>0</v>
      </c>
      <c r="O15" s="385" t="str">
        <f>IF(M15&gt;551,"Yes","NO")</f>
        <v>NO</v>
      </c>
      <c r="P15" s="619" t="str">
        <f>IF(O15="yes","G","")</f>
        <v/>
      </c>
      <c r="Q15" s="376"/>
      <c r="R15" s="586" t="str">
        <f t="shared" si="2"/>
        <v/>
      </c>
    </row>
    <row r="16" spans="1:18" ht="17.25" hidden="1" customHeight="1" thickBot="1" x14ac:dyDescent="0.35">
      <c r="A16" s="689" t="s">
        <v>265</v>
      </c>
      <c r="B16" s="30"/>
      <c r="C16" s="660"/>
      <c r="D16" s="563"/>
      <c r="E16" s="318" t="s">
        <v>16</v>
      </c>
      <c r="F16" s="18"/>
      <c r="G16" s="5"/>
      <c r="H16" s="5"/>
      <c r="I16" s="5"/>
      <c r="J16" s="5"/>
      <c r="K16" s="98"/>
      <c r="L16" s="10"/>
      <c r="M16" s="154">
        <f t="shared" si="0"/>
        <v>0</v>
      </c>
      <c r="N16" s="55">
        <f t="shared" si="1"/>
        <v>0</v>
      </c>
      <c r="O16" s="386" t="str">
        <f>IF(M16&gt;551,"Yes","NO")</f>
        <v>NO</v>
      </c>
      <c r="P16" s="620" t="str">
        <f>IF(O16="yes","G","")</f>
        <v/>
      </c>
      <c r="Q16" s="376"/>
      <c r="R16" s="586" t="str">
        <f t="shared" si="2"/>
        <v/>
      </c>
    </row>
    <row r="17" spans="1:18" ht="17.25" hidden="1" customHeight="1" thickBot="1" x14ac:dyDescent="0.35">
      <c r="A17" s="689" t="s">
        <v>265</v>
      </c>
      <c r="B17" s="30"/>
      <c r="C17" s="667"/>
      <c r="D17" s="570"/>
      <c r="E17" s="341" t="s">
        <v>17</v>
      </c>
      <c r="F17" s="18"/>
      <c r="G17" s="5"/>
      <c r="H17" s="5"/>
      <c r="I17" s="5"/>
      <c r="J17" s="5"/>
      <c r="K17" s="98"/>
      <c r="L17" s="10"/>
      <c r="M17" s="108">
        <f t="shared" si="0"/>
        <v>0</v>
      </c>
      <c r="N17" s="132">
        <f t="shared" si="1"/>
        <v>0</v>
      </c>
      <c r="O17" s="383" t="str">
        <f>IF(M17&gt;514,"Yes","NO")</f>
        <v>NO</v>
      </c>
      <c r="P17" s="623" t="str">
        <f>IF(O17="yes","S","")</f>
        <v/>
      </c>
      <c r="Q17" s="376"/>
      <c r="R17" s="586" t="str">
        <f t="shared" si="2"/>
        <v/>
      </c>
    </row>
    <row r="18" spans="1:18" ht="17.25" hidden="1" customHeight="1" thickBot="1" x14ac:dyDescent="0.35">
      <c r="A18" s="689" t="s">
        <v>265</v>
      </c>
      <c r="B18" s="30"/>
      <c r="C18" s="657"/>
      <c r="D18" s="565"/>
      <c r="E18" s="352" t="s">
        <v>17</v>
      </c>
      <c r="F18" s="18"/>
      <c r="G18" s="5"/>
      <c r="H18" s="5"/>
      <c r="I18" s="5"/>
      <c r="J18" s="5"/>
      <c r="K18" s="98"/>
      <c r="L18" s="10"/>
      <c r="M18" s="153">
        <f t="shared" si="0"/>
        <v>0</v>
      </c>
      <c r="N18" s="387">
        <f>(F18/10)+(G18/10)+(H18/9)+(I18/8)+(J18/7)+(K18/6)+L18</f>
        <v>0</v>
      </c>
      <c r="O18" s="383" t="str">
        <f>IF(M18&gt;514,"Yes","NO")</f>
        <v>NO</v>
      </c>
      <c r="P18" s="623" t="str">
        <f>IF(O18="yes","S","")</f>
        <v/>
      </c>
      <c r="Q18" s="376"/>
      <c r="R18" s="586" t="str">
        <f t="shared" si="2"/>
        <v/>
      </c>
    </row>
    <row r="19" spans="1:18" ht="17.25" hidden="1" customHeight="1" thickBot="1" x14ac:dyDescent="0.35">
      <c r="A19" s="689" t="s">
        <v>265</v>
      </c>
      <c r="B19" s="30"/>
      <c r="C19" s="666"/>
      <c r="D19" s="573"/>
      <c r="E19" s="389" t="s">
        <v>17</v>
      </c>
      <c r="F19" s="18"/>
      <c r="G19" s="5"/>
      <c r="H19" s="5"/>
      <c r="I19" s="5"/>
      <c r="J19" s="5"/>
      <c r="K19" s="98"/>
      <c r="L19" s="10"/>
      <c r="M19" s="153">
        <f t="shared" si="0"/>
        <v>0</v>
      </c>
      <c r="N19" s="387">
        <f>(F19/10)+(G19/10)+(H19/9)+(I19/8)+(J19/7)+(K19/6)+L19</f>
        <v>0</v>
      </c>
      <c r="O19" s="383" t="str">
        <f>IF(M19&gt;514,"Yes","NO")</f>
        <v>NO</v>
      </c>
      <c r="P19" s="623" t="str">
        <f>IF(O19="yes","S","")</f>
        <v/>
      </c>
      <c r="Q19" s="376"/>
      <c r="R19" s="586" t="str">
        <f t="shared" si="2"/>
        <v/>
      </c>
    </row>
    <row r="20" spans="1:18" ht="17.25" hidden="1" customHeight="1" thickBot="1" x14ac:dyDescent="0.35">
      <c r="B20" s="30"/>
      <c r="C20" s="660"/>
      <c r="D20" s="563"/>
      <c r="E20" s="318" t="s">
        <v>17</v>
      </c>
      <c r="F20" s="18"/>
      <c r="G20" s="5"/>
      <c r="H20" s="5"/>
      <c r="I20" s="5"/>
      <c r="J20" s="5"/>
      <c r="K20" s="98"/>
      <c r="L20" s="10"/>
      <c r="M20" s="154">
        <f t="shared" si="0"/>
        <v>0</v>
      </c>
      <c r="N20" s="55">
        <f>(F20/10)+(G20/10)+(H20/9)+(I20/8)+(J20/7)+(K20/6)+L20</f>
        <v>0</v>
      </c>
      <c r="O20" s="388" t="str">
        <f>IF(M20&gt;514,"Yes","NO")</f>
        <v>NO</v>
      </c>
      <c r="P20" s="620" t="str">
        <f>IF(O20="yes","S","")</f>
        <v/>
      </c>
      <c r="Q20" s="376"/>
      <c r="R20" s="586" t="str">
        <f t="shared" si="2"/>
        <v/>
      </c>
    </row>
    <row r="21" spans="1:18" ht="27.9" hidden="1" customHeight="1" thickBot="1" x14ac:dyDescent="0.35">
      <c r="C21" s="987" t="s">
        <v>71</v>
      </c>
      <c r="D21" s="1323" t="s">
        <v>86</v>
      </c>
      <c r="E21" s="1324"/>
      <c r="F21" s="1324"/>
      <c r="G21" s="1324"/>
      <c r="H21" s="1324"/>
      <c r="I21" s="1324"/>
      <c r="J21" s="1324"/>
      <c r="K21" s="1324"/>
      <c r="L21" s="1324"/>
      <c r="M21" s="1324"/>
      <c r="N21" s="1325"/>
      <c r="O21" s="197"/>
      <c r="P21" s="376"/>
      <c r="Q21" s="376"/>
    </row>
    <row r="22" spans="1:18" ht="21.9" customHeight="1" thickBot="1" x14ac:dyDescent="0.35">
      <c r="C22" s="675"/>
      <c r="D22" s="136"/>
      <c r="E22" s="344"/>
      <c r="F22" s="136"/>
      <c r="G22" s="136"/>
      <c r="H22" s="136"/>
      <c r="I22" s="136"/>
      <c r="J22" s="136"/>
      <c r="K22" s="136"/>
      <c r="L22" s="136"/>
      <c r="O22" s="197"/>
      <c r="P22" s="376"/>
      <c r="Q22" s="376"/>
    </row>
    <row r="23" spans="1:18" ht="21.9" customHeight="1" thickBot="1" x14ac:dyDescent="0.35">
      <c r="C23" s="1294" t="s">
        <v>87</v>
      </c>
      <c r="D23" s="1295"/>
      <c r="E23" s="1295"/>
      <c r="F23" s="1295"/>
      <c r="G23" s="1295"/>
      <c r="H23" s="1295"/>
      <c r="I23" s="1296"/>
      <c r="J23" s="1308" t="s">
        <v>186</v>
      </c>
      <c r="K23" s="1309"/>
      <c r="L23" s="1310"/>
      <c r="M23" s="579">
        <v>60</v>
      </c>
      <c r="N23" s="1315" t="s">
        <v>189</v>
      </c>
      <c r="O23" s="1316"/>
      <c r="P23" s="600">
        <v>600</v>
      </c>
      <c r="Q23" s="376"/>
      <c r="R23" s="1136" t="s">
        <v>185</v>
      </c>
    </row>
    <row r="24" spans="1:18" ht="21.9" customHeight="1" thickBot="1" x14ac:dyDescent="0.35">
      <c r="B24" s="759" t="s">
        <v>154</v>
      </c>
      <c r="C24" s="664" t="s">
        <v>0</v>
      </c>
      <c r="D24" s="444" t="s">
        <v>1</v>
      </c>
      <c r="E24" s="337" t="s">
        <v>2</v>
      </c>
      <c r="F24" s="41" t="s">
        <v>48</v>
      </c>
      <c r="G24" s="16">
        <v>10</v>
      </c>
      <c r="H24" s="16">
        <v>9</v>
      </c>
      <c r="I24" s="16">
        <v>8</v>
      </c>
      <c r="J24" s="16">
        <v>7</v>
      </c>
      <c r="K24" s="17">
        <v>6</v>
      </c>
      <c r="L24" s="63">
        <v>0</v>
      </c>
      <c r="M24" s="108" t="s">
        <v>9</v>
      </c>
      <c r="N24" s="175" t="s">
        <v>49</v>
      </c>
      <c r="O24" s="1328"/>
      <c r="P24" s="1329"/>
      <c r="Q24" s="376"/>
      <c r="R24" s="1137"/>
    </row>
    <row r="25" spans="1:18" ht="17.100000000000001" customHeight="1" thickBot="1" x14ac:dyDescent="0.35">
      <c r="A25" s="689" t="s">
        <v>266</v>
      </c>
      <c r="B25" s="30"/>
      <c r="C25" s="659"/>
      <c r="D25" s="30"/>
      <c r="E25" s="564" t="s">
        <v>120</v>
      </c>
      <c r="F25" s="35"/>
      <c r="G25" s="2"/>
      <c r="H25" s="2"/>
      <c r="I25" s="2"/>
      <c r="J25" s="2"/>
      <c r="K25" s="24"/>
      <c r="L25" s="68"/>
      <c r="M25" s="152">
        <f>SUM($F25:$K25)</f>
        <v>0</v>
      </c>
      <c r="N25" s="567">
        <f t="shared" ref="N25" si="4">(F25/10)+(G25/10)+(H25/9)+(I25/8)+(J25/7)+(K25/6)+L25</f>
        <v>0</v>
      </c>
      <c r="O25" s="1167"/>
      <c r="P25" s="1168"/>
      <c r="Q25" s="376"/>
      <c r="R25" s="586" t="str">
        <f t="shared" ref="R25:R29" si="5">IF(N25=0,"",IF(N25=60,"","Shot count Error"))</f>
        <v/>
      </c>
    </row>
    <row r="26" spans="1:18" ht="17.100000000000001" customHeight="1" thickBot="1" x14ac:dyDescent="0.35">
      <c r="A26" s="689" t="s">
        <v>266</v>
      </c>
      <c r="B26" s="573" t="s">
        <v>300</v>
      </c>
      <c r="C26" s="666" t="s">
        <v>110</v>
      </c>
      <c r="D26" s="573">
        <v>1465</v>
      </c>
      <c r="E26" s="565" t="s">
        <v>120</v>
      </c>
      <c r="F26" s="9"/>
      <c r="G26" s="4"/>
      <c r="H26" s="4"/>
      <c r="I26" s="4"/>
      <c r="J26" s="4"/>
      <c r="K26" s="7"/>
      <c r="L26" s="70"/>
      <c r="M26" s="168">
        <f t="shared" ref="M26:M29" si="6">SUM($F26:$K26)</f>
        <v>0</v>
      </c>
      <c r="N26" s="127">
        <f t="shared" ref="N26:N29" si="7">(F26/10)+(G26/10)+(H26/9)+(I26/8)+(J26/7)+(K26/6)+L26</f>
        <v>0</v>
      </c>
      <c r="O26" s="1169"/>
      <c r="P26" s="1170"/>
      <c r="Q26" s="376"/>
      <c r="R26" s="586" t="str">
        <f t="shared" si="5"/>
        <v/>
      </c>
    </row>
    <row r="27" spans="1:18" ht="17.100000000000001" customHeight="1" thickBot="1" x14ac:dyDescent="0.35">
      <c r="A27" s="689" t="s">
        <v>266</v>
      </c>
      <c r="B27" s="573"/>
      <c r="C27" s="666"/>
      <c r="D27" s="573"/>
      <c r="E27" s="573" t="s">
        <v>120</v>
      </c>
      <c r="F27" s="9"/>
      <c r="G27" s="4"/>
      <c r="H27" s="4"/>
      <c r="I27" s="4"/>
      <c r="J27" s="4"/>
      <c r="K27" s="7"/>
      <c r="L27" s="70"/>
      <c r="M27" s="168">
        <f t="shared" si="6"/>
        <v>0</v>
      </c>
      <c r="N27" s="127">
        <f t="shared" si="7"/>
        <v>0</v>
      </c>
      <c r="O27" s="1169"/>
      <c r="P27" s="1170"/>
      <c r="Q27" s="376"/>
      <c r="R27" s="586" t="str">
        <f t="shared" si="5"/>
        <v/>
      </c>
    </row>
    <row r="28" spans="1:18" ht="17.100000000000001" customHeight="1" thickBot="1" x14ac:dyDescent="0.35">
      <c r="A28" s="689" t="s">
        <v>266</v>
      </c>
      <c r="B28" s="570"/>
      <c r="C28" s="657"/>
      <c r="D28" s="565"/>
      <c r="E28" s="570" t="s">
        <v>120</v>
      </c>
      <c r="F28" s="9"/>
      <c r="G28" s="4"/>
      <c r="H28" s="4"/>
      <c r="I28" s="4"/>
      <c r="J28" s="4"/>
      <c r="K28" s="7"/>
      <c r="L28" s="70"/>
      <c r="M28" s="168">
        <f t="shared" si="6"/>
        <v>0</v>
      </c>
      <c r="N28" s="127">
        <f t="shared" si="7"/>
        <v>0</v>
      </c>
      <c r="O28" s="1169"/>
      <c r="P28" s="1170"/>
      <c r="Q28" s="376"/>
      <c r="R28" s="586" t="str">
        <f t="shared" si="5"/>
        <v/>
      </c>
    </row>
    <row r="29" spans="1:18" ht="17.100000000000001" customHeight="1" thickBot="1" x14ac:dyDescent="0.35">
      <c r="A29" s="689" t="s">
        <v>266</v>
      </c>
      <c r="B29" s="563"/>
      <c r="C29" s="660"/>
      <c r="D29" s="563"/>
      <c r="E29" s="571" t="s">
        <v>120</v>
      </c>
      <c r="F29" s="42"/>
      <c r="G29" s="15"/>
      <c r="H29" s="15"/>
      <c r="I29" s="15"/>
      <c r="J29" s="15"/>
      <c r="K29" s="33"/>
      <c r="L29" s="465"/>
      <c r="M29" s="154">
        <f t="shared" si="6"/>
        <v>0</v>
      </c>
      <c r="N29" s="572">
        <f t="shared" si="7"/>
        <v>0</v>
      </c>
      <c r="O29" s="1173"/>
      <c r="P29" s="1174"/>
      <c r="Q29" s="376"/>
      <c r="R29" s="586" t="str">
        <f t="shared" si="5"/>
        <v/>
      </c>
    </row>
    <row r="30" spans="1:18" ht="21.9" customHeight="1" thickBot="1" x14ac:dyDescent="0.35">
      <c r="B30" s="967">
        <f>COUNTA(B25:B29)</f>
        <v>1</v>
      </c>
      <c r="C30" s="675"/>
      <c r="D30" s="136"/>
      <c r="E30" s="344"/>
      <c r="F30" s="136"/>
      <c r="G30" s="136"/>
      <c r="H30" s="136"/>
      <c r="I30" s="136"/>
      <c r="J30" s="136"/>
      <c r="K30" s="136"/>
      <c r="L30" s="136"/>
      <c r="O30" s="197"/>
      <c r="P30" s="376"/>
      <c r="Q30" s="376"/>
    </row>
    <row r="31" spans="1:18" ht="12.75" customHeight="1" thickBot="1" x14ac:dyDescent="0.35">
      <c r="O31" s="197"/>
      <c r="P31" s="376"/>
      <c r="Q31" s="376"/>
    </row>
    <row r="32" spans="1:18" ht="27" customHeight="1" thickBot="1" x14ac:dyDescent="0.35">
      <c r="C32" s="1294" t="s">
        <v>24</v>
      </c>
      <c r="D32" s="1295"/>
      <c r="E32" s="1295"/>
      <c r="F32" s="1295"/>
      <c r="G32" s="1295"/>
      <c r="H32" s="1295"/>
      <c r="I32" s="1295"/>
      <c r="J32" s="1308" t="s">
        <v>186</v>
      </c>
      <c r="K32" s="1309"/>
      <c r="L32" s="1310"/>
      <c r="M32" s="579">
        <v>150</v>
      </c>
      <c r="N32" s="1315" t="s">
        <v>189</v>
      </c>
      <c r="O32" s="1316"/>
      <c r="P32" s="600">
        <v>1500</v>
      </c>
      <c r="Q32" s="376"/>
      <c r="R32" s="1126" t="s">
        <v>185</v>
      </c>
    </row>
    <row r="33" spans="1:18" ht="24" customHeight="1" thickBot="1" x14ac:dyDescent="0.35">
      <c r="B33" s="778" t="s">
        <v>154</v>
      </c>
      <c r="C33" s="664" t="s">
        <v>0</v>
      </c>
      <c r="D33" s="444" t="s">
        <v>1</v>
      </c>
      <c r="E33" s="349" t="s">
        <v>2</v>
      </c>
      <c r="F33" s="41" t="s">
        <v>48</v>
      </c>
      <c r="G33" s="16">
        <v>10</v>
      </c>
      <c r="H33" s="16">
        <v>9</v>
      </c>
      <c r="I33" s="16">
        <v>8</v>
      </c>
      <c r="J33" s="16">
        <v>7</v>
      </c>
      <c r="K33" s="17">
        <v>6</v>
      </c>
      <c r="L33" s="150">
        <v>0</v>
      </c>
      <c r="M33" s="177" t="s">
        <v>9</v>
      </c>
      <c r="N33" s="48" t="s">
        <v>50</v>
      </c>
      <c r="O33" s="356" t="s">
        <v>88</v>
      </c>
      <c r="P33" s="335" t="s">
        <v>89</v>
      </c>
      <c r="Q33" s="376"/>
      <c r="R33" s="1127"/>
    </row>
    <row r="34" spans="1:18" ht="17.25" hidden="1" customHeight="1" thickBot="1" x14ac:dyDescent="0.35">
      <c r="A34" s="689" t="s">
        <v>267</v>
      </c>
      <c r="B34" s="30"/>
      <c r="C34" s="661"/>
      <c r="D34" s="564"/>
      <c r="E34" s="347" t="s">
        <v>18</v>
      </c>
      <c r="F34" s="18"/>
      <c r="G34" s="5"/>
      <c r="H34" s="5"/>
      <c r="I34" s="5"/>
      <c r="J34" s="5"/>
      <c r="K34" s="98"/>
      <c r="L34" s="10"/>
      <c r="M34" s="169">
        <f>SUM($F34:$K34)</f>
        <v>0</v>
      </c>
      <c r="N34" s="131">
        <f>(F34/10)+(G34/10)+(H34/9)+(I34/8)+(J34/7)+(K34/6)+L34</f>
        <v>0</v>
      </c>
      <c r="O34" s="1326"/>
      <c r="P34" s="1168"/>
      <c r="Q34" s="376"/>
      <c r="R34" s="586" t="str">
        <f>IF(N34=0,"",IF(N34=150,"","Shot count Error"))</f>
        <v/>
      </c>
    </row>
    <row r="35" spans="1:18" ht="17.25" hidden="1" customHeight="1" thickBot="1" x14ac:dyDescent="0.35">
      <c r="A35" s="689" t="s">
        <v>267</v>
      </c>
      <c r="B35" s="30"/>
      <c r="C35" s="665"/>
      <c r="D35" s="724"/>
      <c r="E35" s="346" t="s">
        <v>18</v>
      </c>
      <c r="F35" s="18"/>
      <c r="G35" s="5"/>
      <c r="H35" s="5"/>
      <c r="I35" s="5"/>
      <c r="J35" s="5"/>
      <c r="K35" s="98"/>
      <c r="L35" s="10"/>
      <c r="M35" s="171">
        <f t="shared" ref="M35:M45" si="8">SUM($F35:$K35)</f>
        <v>0</v>
      </c>
      <c r="N35" s="183">
        <f t="shared" ref="N35:N45" si="9">(F35/10)+(G35/10)+(H35/9)+(I35/8)+(J35/7)+(K35/6)+L35</f>
        <v>0</v>
      </c>
      <c r="O35" s="1327"/>
      <c r="P35" s="1170"/>
      <c r="Q35" s="376"/>
      <c r="R35" s="586" t="str">
        <f t="shared" ref="R35:R45" si="10">IF(N35=0,"",IF(N35=150,"","Shot count Error"))</f>
        <v/>
      </c>
    </row>
    <row r="36" spans="1:18" ht="17.25" hidden="1" customHeight="1" thickBot="1" x14ac:dyDescent="0.35">
      <c r="A36" s="689" t="s">
        <v>267</v>
      </c>
      <c r="B36" s="30"/>
      <c r="C36" s="661"/>
      <c r="D36" s="564"/>
      <c r="E36" s="347" t="s">
        <v>14</v>
      </c>
      <c r="F36" s="18"/>
      <c r="G36" s="5"/>
      <c r="H36" s="5"/>
      <c r="I36" s="5"/>
      <c r="J36" s="5"/>
      <c r="K36" s="98"/>
      <c r="L36" s="10"/>
      <c r="M36" s="169">
        <f t="shared" si="8"/>
        <v>0</v>
      </c>
      <c r="N36" s="131">
        <f t="shared" si="9"/>
        <v>0</v>
      </c>
      <c r="O36" s="381" t="str">
        <f>IF(M36&gt;1475,"Yes","NO")</f>
        <v>NO</v>
      </c>
      <c r="P36" s="619" t="str">
        <f>IF(O36="yes","Hm","")</f>
        <v/>
      </c>
      <c r="Q36" s="376"/>
      <c r="R36" s="586" t="str">
        <f t="shared" si="10"/>
        <v/>
      </c>
    </row>
    <row r="37" spans="1:18" ht="17.25" hidden="1" customHeight="1" thickBot="1" x14ac:dyDescent="0.35">
      <c r="A37" s="689" t="s">
        <v>267</v>
      </c>
      <c r="B37" s="30"/>
      <c r="C37" s="660"/>
      <c r="D37" s="563"/>
      <c r="E37" s="348" t="s">
        <v>14</v>
      </c>
      <c r="F37" s="18"/>
      <c r="G37" s="5"/>
      <c r="H37" s="5"/>
      <c r="I37" s="5"/>
      <c r="J37" s="5"/>
      <c r="K37" s="98"/>
      <c r="L37" s="10"/>
      <c r="M37" s="179">
        <f t="shared" si="8"/>
        <v>0</v>
      </c>
      <c r="N37" s="173">
        <f t="shared" si="9"/>
        <v>0</v>
      </c>
      <c r="O37" s="382" t="str">
        <f>IF(M37&gt;1475,"Yes","NO")</f>
        <v>NO</v>
      </c>
      <c r="P37" s="620" t="str">
        <f>IF(O37="yes","HM","")</f>
        <v/>
      </c>
      <c r="Q37" s="376"/>
      <c r="R37" s="586" t="str">
        <f t="shared" si="10"/>
        <v/>
      </c>
    </row>
    <row r="38" spans="1:18" ht="17.25" hidden="1" customHeight="1" thickBot="1" x14ac:dyDescent="0.35">
      <c r="A38" s="689" t="s">
        <v>267</v>
      </c>
      <c r="B38" s="30"/>
      <c r="C38" s="667"/>
      <c r="D38" s="570"/>
      <c r="E38" s="345" t="s">
        <v>15</v>
      </c>
      <c r="F38" s="18"/>
      <c r="G38" s="5"/>
      <c r="H38" s="5"/>
      <c r="I38" s="5"/>
      <c r="J38" s="5"/>
      <c r="K38" s="98"/>
      <c r="L38" s="10"/>
      <c r="M38" s="170">
        <f>SUM($F38:$K38)</f>
        <v>0</v>
      </c>
      <c r="N38" s="181">
        <f t="shared" si="9"/>
        <v>0</v>
      </c>
      <c r="O38" s="383" t="str">
        <f>IF(M38&gt;1439,"Yes","NO")</f>
        <v>NO</v>
      </c>
      <c r="P38" s="623" t="str">
        <f>IF(O38="yes","M","")</f>
        <v/>
      </c>
      <c r="Q38" s="376"/>
      <c r="R38" s="586" t="str">
        <f t="shared" si="10"/>
        <v/>
      </c>
    </row>
    <row r="39" spans="1:18" ht="17.25" hidden="1" customHeight="1" thickBot="1" x14ac:dyDescent="0.35">
      <c r="A39" s="689" t="s">
        <v>267</v>
      </c>
      <c r="B39" s="30"/>
      <c r="C39" s="665"/>
      <c r="D39" s="724"/>
      <c r="E39" s="346" t="s">
        <v>15</v>
      </c>
      <c r="F39" s="18"/>
      <c r="G39" s="5"/>
      <c r="H39" s="5"/>
      <c r="I39" s="5"/>
      <c r="J39" s="5"/>
      <c r="K39" s="98"/>
      <c r="L39" s="10"/>
      <c r="M39" s="171">
        <f>SUM($F39:$K39)</f>
        <v>0</v>
      </c>
      <c r="N39" s="183">
        <f t="shared" si="9"/>
        <v>0</v>
      </c>
      <c r="O39" s="384" t="str">
        <f>IF(M39&gt;1439,"Yes","NO")</f>
        <v>NO</v>
      </c>
      <c r="P39" s="624" t="str">
        <f>IF(O39="yes","M","")</f>
        <v/>
      </c>
      <c r="Q39" s="376"/>
      <c r="R39" s="586" t="str">
        <f t="shared" si="10"/>
        <v/>
      </c>
    </row>
    <row r="40" spans="1:18" ht="17.25" hidden="1" customHeight="1" thickBot="1" x14ac:dyDescent="0.35">
      <c r="A40" s="689" t="s">
        <v>267</v>
      </c>
      <c r="B40" s="30"/>
      <c r="C40" s="661"/>
      <c r="D40" s="564"/>
      <c r="E40" s="347" t="s">
        <v>16</v>
      </c>
      <c r="F40" s="18"/>
      <c r="G40" s="5"/>
      <c r="H40" s="5"/>
      <c r="I40" s="5"/>
      <c r="J40" s="5"/>
      <c r="K40" s="98"/>
      <c r="L40" s="10"/>
      <c r="M40" s="169">
        <f t="shared" si="8"/>
        <v>0</v>
      </c>
      <c r="N40" s="131">
        <f t="shared" si="9"/>
        <v>0</v>
      </c>
      <c r="O40" s="381" t="str">
        <f>IF(M40&gt;1379,"Yes","NO")</f>
        <v>NO</v>
      </c>
      <c r="P40" s="619" t="str">
        <f>IF(O40="yes","G","")</f>
        <v/>
      </c>
      <c r="Q40" s="376"/>
      <c r="R40" s="586" t="str">
        <f t="shared" si="10"/>
        <v/>
      </c>
    </row>
    <row r="41" spans="1:18" ht="17.25" hidden="1" customHeight="1" thickBot="1" x14ac:dyDescent="0.35">
      <c r="A41" s="689" t="s">
        <v>267</v>
      </c>
      <c r="B41" s="30"/>
      <c r="C41" s="660"/>
      <c r="D41" s="563"/>
      <c r="E41" s="348" t="s">
        <v>16</v>
      </c>
      <c r="F41" s="18"/>
      <c r="G41" s="5"/>
      <c r="H41" s="5"/>
      <c r="I41" s="5"/>
      <c r="J41" s="5"/>
      <c r="K41" s="98"/>
      <c r="L41" s="10"/>
      <c r="M41" s="179">
        <f t="shared" si="8"/>
        <v>0</v>
      </c>
      <c r="N41" s="173">
        <f t="shared" si="9"/>
        <v>0</v>
      </c>
      <c r="O41" s="382" t="str">
        <f>IF(M41&gt;1379,"Yes","NO")</f>
        <v>NO</v>
      </c>
      <c r="P41" s="620" t="str">
        <f>IF(O41="yes","G","")</f>
        <v/>
      </c>
      <c r="Q41" s="376"/>
      <c r="R41" s="586" t="str">
        <f t="shared" si="10"/>
        <v/>
      </c>
    </row>
    <row r="42" spans="1:18" ht="17.25" hidden="1" customHeight="1" thickBot="1" x14ac:dyDescent="0.35">
      <c r="A42" s="689" t="s">
        <v>267</v>
      </c>
      <c r="B42" s="30"/>
      <c r="C42" s="667"/>
      <c r="D42" s="570"/>
      <c r="E42" s="345" t="s">
        <v>17</v>
      </c>
      <c r="F42" s="18"/>
      <c r="G42" s="5"/>
      <c r="H42" s="5"/>
      <c r="I42" s="5"/>
      <c r="J42" s="5"/>
      <c r="K42" s="98"/>
      <c r="L42" s="10"/>
      <c r="M42" s="170">
        <f t="shared" si="8"/>
        <v>0</v>
      </c>
      <c r="N42" s="181">
        <f t="shared" si="9"/>
        <v>0</v>
      </c>
      <c r="O42" s="383" t="str">
        <f>IF(M42&gt;1079,"Yes","NO")</f>
        <v>NO</v>
      </c>
      <c r="P42" s="623" t="str">
        <f>IF(O42="yes","S","")</f>
        <v/>
      </c>
      <c r="Q42" s="376"/>
      <c r="R42" s="586" t="str">
        <f t="shared" si="10"/>
        <v/>
      </c>
    </row>
    <row r="43" spans="1:18" ht="17.25" hidden="1" customHeight="1" thickBot="1" x14ac:dyDescent="0.35">
      <c r="A43" s="689" t="s">
        <v>267</v>
      </c>
      <c r="B43" s="30"/>
      <c r="C43" s="667"/>
      <c r="D43" s="570"/>
      <c r="E43" s="345" t="s">
        <v>17</v>
      </c>
      <c r="F43" s="18"/>
      <c r="G43" s="5"/>
      <c r="H43" s="5"/>
      <c r="I43" s="5"/>
      <c r="J43" s="5"/>
      <c r="K43" s="98"/>
      <c r="L43" s="10"/>
      <c r="M43" s="172">
        <f t="shared" si="8"/>
        <v>0</v>
      </c>
      <c r="N43" s="178">
        <f t="shared" si="9"/>
        <v>0</v>
      </c>
      <c r="O43" s="383" t="str">
        <f>IF(M43&gt;1079,"Yes","NO")</f>
        <v>NO</v>
      </c>
      <c r="P43" s="623" t="str">
        <f>IF(O43="yes","S","")</f>
        <v/>
      </c>
      <c r="Q43" s="376"/>
      <c r="R43" s="586" t="str">
        <f t="shared" si="10"/>
        <v/>
      </c>
    </row>
    <row r="44" spans="1:18" ht="17.25" hidden="1" customHeight="1" thickBot="1" x14ac:dyDescent="0.35">
      <c r="A44" s="689" t="s">
        <v>267</v>
      </c>
      <c r="B44" s="30"/>
      <c r="C44" s="666"/>
      <c r="D44" s="573"/>
      <c r="E44" s="345" t="s">
        <v>17</v>
      </c>
      <c r="F44" s="18"/>
      <c r="G44" s="5"/>
      <c r="H44" s="5"/>
      <c r="I44" s="5"/>
      <c r="J44" s="5"/>
      <c r="K44" s="98"/>
      <c r="L44" s="10"/>
      <c r="M44" s="172">
        <f t="shared" si="8"/>
        <v>0</v>
      </c>
      <c r="N44" s="178">
        <f t="shared" si="9"/>
        <v>0</v>
      </c>
      <c r="O44" s="383" t="str">
        <f>IF(M44&gt;1079,"Yes","NO")</f>
        <v>NO</v>
      </c>
      <c r="P44" s="623" t="str">
        <f>IF(O44="yes","S","")</f>
        <v/>
      </c>
      <c r="Q44" s="376"/>
      <c r="R44" s="586" t="str">
        <f t="shared" si="10"/>
        <v/>
      </c>
    </row>
    <row r="45" spans="1:18" ht="17.25" hidden="1" customHeight="1" thickBot="1" x14ac:dyDescent="0.35">
      <c r="B45" s="30"/>
      <c r="C45" s="662"/>
      <c r="D45" s="571"/>
      <c r="E45" s="350" t="s">
        <v>17</v>
      </c>
      <c r="F45" s="18"/>
      <c r="G45" s="5"/>
      <c r="H45" s="5"/>
      <c r="I45" s="5"/>
      <c r="J45" s="5"/>
      <c r="K45" s="98"/>
      <c r="L45" s="10"/>
      <c r="M45" s="179">
        <f t="shared" si="8"/>
        <v>0</v>
      </c>
      <c r="N45" s="173">
        <f t="shared" si="9"/>
        <v>0</v>
      </c>
      <c r="O45" s="383" t="str">
        <f>IF(M45&gt;1079,"Yes","NO")</f>
        <v>NO</v>
      </c>
      <c r="P45" s="623" t="str">
        <f>IF(O45="yes","S","")</f>
        <v/>
      </c>
      <c r="Q45" s="376"/>
      <c r="R45" s="586" t="str">
        <f t="shared" si="10"/>
        <v/>
      </c>
    </row>
    <row r="46" spans="1:18" s="159" customFormat="1" ht="33" customHeight="1" thickBot="1" x14ac:dyDescent="0.35">
      <c r="A46" s="775"/>
      <c r="B46" s="158"/>
      <c r="C46" s="1330" t="s">
        <v>64</v>
      </c>
      <c r="D46" s="1331"/>
      <c r="E46" s="1334" t="s">
        <v>92</v>
      </c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6"/>
    </row>
    <row r="47" spans="1:18" ht="16.5" customHeight="1" x14ac:dyDescent="0.3"/>
    <row r="48" spans="1:18" ht="21.75" customHeight="1" thickBot="1" x14ac:dyDescent="0.35"/>
    <row r="49" spans="1:18" ht="27.9" customHeight="1" thickBot="1" x14ac:dyDescent="0.35">
      <c r="C49" s="1294" t="s">
        <v>25</v>
      </c>
      <c r="D49" s="1295"/>
      <c r="E49" s="1295"/>
      <c r="F49" s="1295"/>
      <c r="G49" s="1295"/>
      <c r="H49" s="1295"/>
      <c r="I49" s="1295"/>
      <c r="J49" s="1308" t="s">
        <v>186</v>
      </c>
      <c r="K49" s="1309"/>
      <c r="L49" s="1310"/>
      <c r="M49" s="579">
        <v>150</v>
      </c>
      <c r="N49" s="1315" t="s">
        <v>189</v>
      </c>
      <c r="O49" s="1316"/>
      <c r="P49" s="600">
        <v>1500</v>
      </c>
      <c r="R49" s="1126" t="s">
        <v>185</v>
      </c>
    </row>
    <row r="50" spans="1:18" ht="23.1" customHeight="1" thickBot="1" x14ac:dyDescent="0.35">
      <c r="B50" s="759" t="s">
        <v>154</v>
      </c>
      <c r="C50" s="719" t="s">
        <v>0</v>
      </c>
      <c r="D50" s="30" t="s">
        <v>1</v>
      </c>
      <c r="E50" s="372" t="s">
        <v>2</v>
      </c>
      <c r="F50" s="80" t="s">
        <v>48</v>
      </c>
      <c r="G50" s="107">
        <v>10</v>
      </c>
      <c r="H50" s="107">
        <v>9</v>
      </c>
      <c r="I50" s="107">
        <v>8</v>
      </c>
      <c r="J50" s="107">
        <v>7</v>
      </c>
      <c r="K50" s="89">
        <v>6</v>
      </c>
      <c r="L50" s="48">
        <v>0</v>
      </c>
      <c r="M50" s="141" t="s">
        <v>9</v>
      </c>
      <c r="N50" s="48" t="s">
        <v>50</v>
      </c>
      <c r="O50" s="800" t="s">
        <v>88</v>
      </c>
      <c r="P50" s="795" t="s">
        <v>89</v>
      </c>
      <c r="R50" s="1127"/>
    </row>
    <row r="51" spans="1:18" ht="17.25" customHeight="1" thickBot="1" x14ac:dyDescent="0.35">
      <c r="A51" s="689" t="s">
        <v>268</v>
      </c>
      <c r="B51" s="564"/>
      <c r="C51" s="661"/>
      <c r="D51" s="564"/>
      <c r="E51" s="343" t="s">
        <v>18</v>
      </c>
      <c r="F51" s="137"/>
      <c r="G51" s="2"/>
      <c r="H51" s="2"/>
      <c r="I51" s="2"/>
      <c r="J51" s="2"/>
      <c r="K51" s="2"/>
      <c r="L51" s="138"/>
      <c r="M51" s="797">
        <f>SUM($F51:$K51)</f>
        <v>0</v>
      </c>
      <c r="N51" s="131">
        <f>(F51/10)+(G51/10)+(H51/9)+(I51/8)+(J51/7)+(K51/6)+L51</f>
        <v>0</v>
      </c>
      <c r="O51" s="1233"/>
      <c r="P51" s="1234"/>
      <c r="R51" s="586" t="str">
        <f t="shared" ref="R51:R63" si="11">IF(N51=0,"",IF(N51=150,"","Shot count Error"))</f>
        <v/>
      </c>
    </row>
    <row r="52" spans="1:18" ht="17.25" customHeight="1" thickBot="1" x14ac:dyDescent="0.35">
      <c r="A52" s="689" t="s">
        <v>268</v>
      </c>
      <c r="B52" s="724"/>
      <c r="C52" s="665"/>
      <c r="D52" s="724"/>
      <c r="E52" s="342" t="s">
        <v>18</v>
      </c>
      <c r="F52" s="87"/>
      <c r="G52" s="1"/>
      <c r="H52" s="1"/>
      <c r="I52" s="1"/>
      <c r="J52" s="1"/>
      <c r="K52" s="1"/>
      <c r="L52" s="88"/>
      <c r="M52" s="801">
        <f t="shared" ref="M52:M63" si="12">SUM($F52:$K52)</f>
        <v>0</v>
      </c>
      <c r="N52" s="183">
        <f t="shared" ref="N52:N63" si="13">(F52/10)+(G52/10)+(H52/9)+(I52/8)+(J52/7)+(K52/6)+L52</f>
        <v>0</v>
      </c>
      <c r="O52" s="1348"/>
      <c r="P52" s="1349"/>
      <c r="R52" s="586" t="str">
        <f t="shared" si="11"/>
        <v/>
      </c>
    </row>
    <row r="53" spans="1:18" ht="17.25" customHeight="1" thickBot="1" x14ac:dyDescent="0.35">
      <c r="A53" s="689" t="s">
        <v>268</v>
      </c>
      <c r="B53" s="564"/>
      <c r="C53" s="661"/>
      <c r="D53" s="564"/>
      <c r="E53" s="343" t="s">
        <v>14</v>
      </c>
      <c r="F53" s="137"/>
      <c r="G53" s="2"/>
      <c r="H53" s="2"/>
      <c r="I53" s="2"/>
      <c r="J53" s="2"/>
      <c r="K53" s="2"/>
      <c r="L53" s="138"/>
      <c r="M53" s="797">
        <f t="shared" si="12"/>
        <v>0</v>
      </c>
      <c r="N53" s="131">
        <f t="shared" si="13"/>
        <v>0</v>
      </c>
      <c r="O53" s="149" t="str">
        <f>IF(M53&gt;1475,"Yes","NO")</f>
        <v>NO</v>
      </c>
      <c r="P53" s="625" t="str">
        <f>IF(O53="yes","HM","")</f>
        <v/>
      </c>
      <c r="R53" s="586" t="str">
        <f t="shared" si="11"/>
        <v/>
      </c>
    </row>
    <row r="54" spans="1:18" ht="17.25" customHeight="1" thickBot="1" x14ac:dyDescent="0.35">
      <c r="A54" s="689" t="s">
        <v>268</v>
      </c>
      <c r="B54" s="563"/>
      <c r="C54" s="660"/>
      <c r="D54" s="563"/>
      <c r="E54" s="318" t="s">
        <v>14</v>
      </c>
      <c r="F54" s="139"/>
      <c r="G54" s="6"/>
      <c r="H54" s="6"/>
      <c r="I54" s="6"/>
      <c r="J54" s="6"/>
      <c r="K54" s="6"/>
      <c r="L54" s="140"/>
      <c r="M54" s="799">
        <f t="shared" si="12"/>
        <v>0</v>
      </c>
      <c r="N54" s="173">
        <f t="shared" si="13"/>
        <v>0</v>
      </c>
      <c r="O54" s="163" t="str">
        <f>IF(M54&gt;1475,"Yes","NO")</f>
        <v>NO</v>
      </c>
      <c r="P54" s="626" t="str">
        <f>IF(O54="yes","HM","")</f>
        <v/>
      </c>
      <c r="R54" s="586" t="str">
        <f t="shared" si="11"/>
        <v/>
      </c>
    </row>
    <row r="55" spans="1:18" ht="17.25" customHeight="1" thickBot="1" x14ac:dyDescent="0.35">
      <c r="A55" s="689" t="s">
        <v>268</v>
      </c>
      <c r="B55" s="564"/>
      <c r="C55" s="661" t="s">
        <v>372</v>
      </c>
      <c r="D55" s="564">
        <v>169</v>
      </c>
      <c r="E55" s="343" t="s">
        <v>31</v>
      </c>
      <c r="F55" s="137">
        <v>470</v>
      </c>
      <c r="G55" s="2">
        <v>270</v>
      </c>
      <c r="H55" s="2">
        <v>351</v>
      </c>
      <c r="I55" s="2">
        <v>152</v>
      </c>
      <c r="J55" s="2">
        <v>84</v>
      </c>
      <c r="K55" s="2"/>
      <c r="L55" s="1068">
        <v>6</v>
      </c>
      <c r="M55" s="797">
        <f t="shared" si="12"/>
        <v>1327</v>
      </c>
      <c r="N55" s="131">
        <f t="shared" si="13"/>
        <v>150</v>
      </c>
      <c r="O55" s="149" t="str">
        <f>IF(M55&gt;1439,"Yes","NO")</f>
        <v>NO</v>
      </c>
      <c r="P55" s="625" t="str">
        <f>IF(O55="yes","M","")</f>
        <v/>
      </c>
      <c r="R55" s="586" t="str">
        <f t="shared" si="11"/>
        <v/>
      </c>
    </row>
    <row r="56" spans="1:18" ht="17.25" customHeight="1" thickBot="1" x14ac:dyDescent="0.35">
      <c r="A56" s="689" t="s">
        <v>268</v>
      </c>
      <c r="B56" s="563" t="s">
        <v>300</v>
      </c>
      <c r="C56" s="660" t="s">
        <v>110</v>
      </c>
      <c r="D56" s="563">
        <v>1465</v>
      </c>
      <c r="E56" s="318" t="s">
        <v>15</v>
      </c>
      <c r="F56" s="139">
        <v>380</v>
      </c>
      <c r="G56" s="6">
        <v>450</v>
      </c>
      <c r="H56" s="6">
        <v>450</v>
      </c>
      <c r="I56" s="6">
        <v>88</v>
      </c>
      <c r="J56" s="6">
        <v>21</v>
      </c>
      <c r="K56" s="6"/>
      <c r="L56" s="1069">
        <v>3</v>
      </c>
      <c r="M56" s="799">
        <f t="shared" si="12"/>
        <v>1389</v>
      </c>
      <c r="N56" s="173">
        <f t="shared" si="13"/>
        <v>150</v>
      </c>
      <c r="O56" s="163" t="str">
        <f>IF(M56&gt;1439,"Yes","NO")</f>
        <v>NO</v>
      </c>
      <c r="P56" s="626" t="str">
        <f>IF(O56="yes","M","")</f>
        <v/>
      </c>
      <c r="R56" s="586" t="str">
        <f t="shared" si="11"/>
        <v/>
      </c>
    </row>
    <row r="57" spans="1:18" ht="17.25" customHeight="1" thickBot="1" x14ac:dyDescent="0.35">
      <c r="A57" s="689" t="s">
        <v>268</v>
      </c>
      <c r="B57" s="564"/>
      <c r="C57" s="661"/>
      <c r="D57" s="564"/>
      <c r="E57" s="343" t="s">
        <v>16</v>
      </c>
      <c r="F57" s="137"/>
      <c r="G57" s="2"/>
      <c r="H57" s="2"/>
      <c r="I57" s="2"/>
      <c r="J57" s="2"/>
      <c r="K57" s="2"/>
      <c r="L57" s="138"/>
      <c r="M57" s="797">
        <f t="shared" si="12"/>
        <v>0</v>
      </c>
      <c r="N57" s="131">
        <f t="shared" si="13"/>
        <v>0</v>
      </c>
      <c r="O57" s="149" t="str">
        <f>IF(M57&gt;1379,"Yes","NO")</f>
        <v>NO</v>
      </c>
      <c r="P57" s="619" t="str">
        <f>IF(O57="yes","G","")</f>
        <v/>
      </c>
      <c r="R57" s="586" t="str">
        <f t="shared" si="11"/>
        <v/>
      </c>
    </row>
    <row r="58" spans="1:18" ht="17.25" customHeight="1" thickBot="1" x14ac:dyDescent="0.35">
      <c r="A58" s="689" t="s">
        <v>268</v>
      </c>
      <c r="B58" s="573"/>
      <c r="C58" s="666"/>
      <c r="D58" s="573"/>
      <c r="E58" s="389" t="s">
        <v>16</v>
      </c>
      <c r="F58" s="81"/>
      <c r="G58" s="82"/>
      <c r="H58" s="82"/>
      <c r="I58" s="82"/>
      <c r="J58" s="82"/>
      <c r="K58" s="82"/>
      <c r="L58" s="86"/>
      <c r="M58" s="798">
        <f t="shared" si="12"/>
        <v>0</v>
      </c>
      <c r="N58" s="178">
        <f t="shared" ref="N58" si="14">(F58/10)+(G58/10)+(H58/9)+(I58/8)+(J58/7)+(K58/6)+L58</f>
        <v>0</v>
      </c>
      <c r="O58" s="539" t="str">
        <f>IF(M58&gt;1379,"Yes","NO")</f>
        <v>NO</v>
      </c>
      <c r="P58" s="622" t="str">
        <f>IF(O58="yes","G","")</f>
        <v/>
      </c>
      <c r="R58" s="586" t="str">
        <f t="shared" ref="R58" si="15">IF(N58=0,"",IF(N58=150,"","Shot count Error"))</f>
        <v/>
      </c>
    </row>
    <row r="59" spans="1:18" ht="17.25" customHeight="1" thickBot="1" x14ac:dyDescent="0.35">
      <c r="A59" s="689" t="s">
        <v>268</v>
      </c>
      <c r="B59" s="563"/>
      <c r="C59" s="660"/>
      <c r="D59" s="563"/>
      <c r="E59" s="318" t="s">
        <v>16</v>
      </c>
      <c r="F59" s="139"/>
      <c r="G59" s="6"/>
      <c r="H59" s="6"/>
      <c r="I59" s="6"/>
      <c r="J59" s="6"/>
      <c r="K59" s="6"/>
      <c r="L59" s="140"/>
      <c r="M59" s="799">
        <f t="shared" si="12"/>
        <v>0</v>
      </c>
      <c r="N59" s="173">
        <f t="shared" si="13"/>
        <v>0</v>
      </c>
      <c r="O59" s="163" t="str">
        <f>IF(M59&gt;1379,"Yes","NO")</f>
        <v>NO</v>
      </c>
      <c r="P59" s="620" t="str">
        <f>IF(O59="yes","G","")</f>
        <v/>
      </c>
      <c r="R59" s="586" t="str">
        <f t="shared" si="11"/>
        <v/>
      </c>
    </row>
    <row r="60" spans="1:18" ht="17.25" customHeight="1" thickBot="1" x14ac:dyDescent="0.35">
      <c r="A60" s="689" t="s">
        <v>268</v>
      </c>
      <c r="B60" s="570"/>
      <c r="C60" s="988"/>
      <c r="D60" s="1378"/>
      <c r="E60" s="341" t="s">
        <v>17</v>
      </c>
      <c r="F60" s="90"/>
      <c r="G60" s="4"/>
      <c r="H60" s="4"/>
      <c r="I60" s="4"/>
      <c r="J60" s="4"/>
      <c r="K60" s="4"/>
      <c r="L60" s="91"/>
      <c r="M60" s="802">
        <f t="shared" si="12"/>
        <v>0</v>
      </c>
      <c r="N60" s="181">
        <f t="shared" si="13"/>
        <v>0</v>
      </c>
      <c r="O60" s="151" t="str">
        <f>IF(M60&gt;1079,"Yes","NO")</f>
        <v>NO</v>
      </c>
      <c r="P60" s="623" t="str">
        <f>IF(O60="yes","S","")</f>
        <v/>
      </c>
      <c r="R60" s="586" t="str">
        <f t="shared" si="11"/>
        <v/>
      </c>
    </row>
    <row r="61" spans="1:18" ht="17.25" customHeight="1" thickBot="1" x14ac:dyDescent="0.35">
      <c r="A61" s="689" t="s">
        <v>268</v>
      </c>
      <c r="B61" s="573"/>
      <c r="C61" s="666"/>
      <c r="D61" s="573"/>
      <c r="E61" s="389" t="s">
        <v>17</v>
      </c>
      <c r="F61" s="81"/>
      <c r="G61" s="82"/>
      <c r="H61" s="82"/>
      <c r="I61" s="82"/>
      <c r="J61" s="82"/>
      <c r="K61" s="82"/>
      <c r="L61" s="86"/>
      <c r="M61" s="798">
        <f t="shared" si="12"/>
        <v>0</v>
      </c>
      <c r="N61" s="178">
        <f t="shared" si="13"/>
        <v>0</v>
      </c>
      <c r="O61" s="539" t="str">
        <f>IF(M61&gt;1079,"Yes","NO")</f>
        <v>NO</v>
      </c>
      <c r="P61" s="622" t="str">
        <f>IF(O61="yes","S","")</f>
        <v/>
      </c>
      <c r="R61" s="586" t="str">
        <f t="shared" si="11"/>
        <v/>
      </c>
    </row>
    <row r="62" spans="1:18" ht="17.25" customHeight="1" thickBot="1" x14ac:dyDescent="0.35">
      <c r="A62" s="689" t="s">
        <v>268</v>
      </c>
      <c r="B62" s="573"/>
      <c r="C62" s="666"/>
      <c r="D62" s="573"/>
      <c r="E62" s="389" t="s">
        <v>17</v>
      </c>
      <c r="F62" s="81"/>
      <c r="G62" s="82"/>
      <c r="H62" s="82"/>
      <c r="I62" s="82"/>
      <c r="J62" s="82"/>
      <c r="K62" s="82"/>
      <c r="L62" s="86"/>
      <c r="M62" s="798">
        <f t="shared" si="12"/>
        <v>0</v>
      </c>
      <c r="N62" s="178">
        <f t="shared" si="13"/>
        <v>0</v>
      </c>
      <c r="O62" s="539" t="str">
        <f>IF(M62&gt;1079,"Yes","NO")</f>
        <v>NO</v>
      </c>
      <c r="P62" s="622" t="str">
        <f>IF(O62="yes","S","")</f>
        <v/>
      </c>
      <c r="R62" s="586" t="str">
        <f t="shared" si="11"/>
        <v/>
      </c>
    </row>
    <row r="63" spans="1:18" ht="17.25" customHeight="1" thickBot="1" x14ac:dyDescent="0.35">
      <c r="A63" s="689" t="s">
        <v>268</v>
      </c>
      <c r="B63" s="563"/>
      <c r="C63" s="660"/>
      <c r="D63" s="563"/>
      <c r="E63" s="318" t="s">
        <v>17</v>
      </c>
      <c r="F63" s="139"/>
      <c r="G63" s="6"/>
      <c r="H63" s="6"/>
      <c r="I63" s="6"/>
      <c r="J63" s="6"/>
      <c r="K63" s="6"/>
      <c r="L63" s="140"/>
      <c r="M63" s="799">
        <f t="shared" si="12"/>
        <v>0</v>
      </c>
      <c r="N63" s="173">
        <f t="shared" si="13"/>
        <v>0</v>
      </c>
      <c r="O63" s="163" t="str">
        <f>IF(M63&gt;1079,"Yes","NO")</f>
        <v>NO</v>
      </c>
      <c r="P63" s="620" t="str">
        <f>IF(O63="yes","S","")</f>
        <v/>
      </c>
      <c r="R63" s="586" t="str">
        <f t="shared" si="11"/>
        <v/>
      </c>
    </row>
    <row r="64" spans="1:18" ht="30" customHeight="1" thickBot="1" x14ac:dyDescent="0.35">
      <c r="B64" s="967">
        <f>COUNTA(B51:B63)</f>
        <v>1</v>
      </c>
      <c r="C64" s="1332" t="s">
        <v>64</v>
      </c>
      <c r="D64" s="1333"/>
      <c r="E64" s="1344" t="s">
        <v>92</v>
      </c>
      <c r="F64" s="1345"/>
      <c r="G64" s="1345"/>
      <c r="H64" s="1345"/>
      <c r="I64" s="1345"/>
      <c r="J64" s="1345"/>
      <c r="K64" s="1345"/>
      <c r="L64" s="1345"/>
      <c r="M64" s="1345"/>
      <c r="N64" s="1345"/>
      <c r="O64" s="1345"/>
      <c r="P64" s="1346"/>
    </row>
    <row r="65" spans="1:17" ht="18" x14ac:dyDescent="0.3">
      <c r="D65" s="13"/>
      <c r="E65" s="352"/>
      <c r="F65" s="10"/>
      <c r="G65" s="10"/>
      <c r="H65" s="10"/>
      <c r="I65" s="10"/>
      <c r="J65" s="10"/>
      <c r="K65" s="10"/>
      <c r="M65" s="49"/>
      <c r="N65" s="148"/>
      <c r="O65" s="157"/>
      <c r="P65" s="158"/>
    </row>
    <row r="67" spans="1:17" ht="9.75" customHeight="1" thickBot="1" x14ac:dyDescent="0.35"/>
    <row r="68" spans="1:17" ht="24" customHeight="1" thickBot="1" x14ac:dyDescent="0.35">
      <c r="C68" s="1294" t="s">
        <v>26</v>
      </c>
      <c r="D68" s="1295"/>
      <c r="E68" s="1295"/>
      <c r="F68" s="1295"/>
      <c r="G68" s="1295"/>
      <c r="H68" s="1308" t="s">
        <v>186</v>
      </c>
      <c r="I68" s="1309"/>
      <c r="J68" s="1310"/>
      <c r="K68" s="579">
        <v>60</v>
      </c>
      <c r="L68" s="1315" t="s">
        <v>189</v>
      </c>
      <c r="M68" s="1316"/>
      <c r="N68" s="600">
        <v>600</v>
      </c>
      <c r="O68" s="1130" t="s">
        <v>185</v>
      </c>
      <c r="P68" s="1131"/>
    </row>
    <row r="69" spans="1:17" ht="21" customHeight="1" thickBot="1" x14ac:dyDescent="0.35">
      <c r="B69" s="778" t="s">
        <v>154</v>
      </c>
      <c r="C69" s="989" t="s">
        <v>0</v>
      </c>
      <c r="D69" s="17" t="s">
        <v>1</v>
      </c>
      <c r="E69" s="349" t="s">
        <v>2</v>
      </c>
      <c r="F69" s="41" t="s">
        <v>48</v>
      </c>
      <c r="G69" s="16">
        <v>10</v>
      </c>
      <c r="H69" s="16">
        <v>9</v>
      </c>
      <c r="I69" s="16">
        <v>8</v>
      </c>
      <c r="J69" s="16">
        <v>7</v>
      </c>
      <c r="K69" s="17">
        <v>6</v>
      </c>
      <c r="L69" s="63">
        <v>0</v>
      </c>
      <c r="M69" s="141" t="s">
        <v>9</v>
      </c>
      <c r="N69" s="48" t="s">
        <v>50</v>
      </c>
      <c r="O69" s="1321"/>
      <c r="P69" s="1322"/>
      <c r="Q69" s="376"/>
    </row>
    <row r="70" spans="1:17" ht="17.25" hidden="1" customHeight="1" thickBot="1" x14ac:dyDescent="0.35">
      <c r="A70" s="689" t="s">
        <v>270</v>
      </c>
      <c r="B70" s="30"/>
      <c r="C70" s="990"/>
      <c r="D70" s="1379"/>
      <c r="E70" s="564" t="s">
        <v>120</v>
      </c>
      <c r="F70" s="35"/>
      <c r="G70" s="2"/>
      <c r="H70" s="2"/>
      <c r="I70" s="2"/>
      <c r="J70" s="2"/>
      <c r="K70" s="24"/>
      <c r="L70" s="68"/>
      <c r="M70" s="169">
        <f>SUM($F70:$K70)</f>
        <v>0</v>
      </c>
      <c r="N70" s="131">
        <f>(F70/10)+(G70/10)+(H70/9)+(I70/8)+(J70/7)+(K70/6)+L70</f>
        <v>0</v>
      </c>
      <c r="O70" s="1302" t="str">
        <f>IF(K70=0,"",IF(K70=60,"","Shot count Error"))</f>
        <v/>
      </c>
      <c r="P70" s="1304"/>
      <c r="Q70" s="376"/>
    </row>
    <row r="71" spans="1:17" ht="17.25" hidden="1" customHeight="1" thickBot="1" x14ac:dyDescent="0.35">
      <c r="A71" s="689" t="s">
        <v>269</v>
      </c>
      <c r="B71" s="30"/>
      <c r="C71" s="991"/>
      <c r="D71" s="143"/>
      <c r="E71" s="565" t="s">
        <v>120</v>
      </c>
      <c r="F71" s="18"/>
      <c r="G71" s="5"/>
      <c r="H71" s="5"/>
      <c r="I71" s="5"/>
      <c r="J71" s="5"/>
      <c r="K71" s="98"/>
      <c r="L71" s="10"/>
      <c r="M71" s="171">
        <f t="shared" ref="M71:M72" si="16">SUM($F71:$K71)</f>
        <v>0</v>
      </c>
      <c r="N71" s="183">
        <f t="shared" ref="N71" si="17">(F71/10)+(G71/10)+(H71/9)+(I71/8)+(J71/7)+(K71/6)+L71</f>
        <v>0</v>
      </c>
      <c r="O71" s="1302" t="str">
        <f t="shared" ref="O71:O72" si="18">IF(K71=0,"",IF(K71=60,"","Shot count Error"))</f>
        <v/>
      </c>
      <c r="P71" s="1304"/>
      <c r="Q71" s="376"/>
    </row>
    <row r="72" spans="1:17" ht="17.25" hidden="1" customHeight="1" thickBot="1" x14ac:dyDescent="0.35">
      <c r="A72" s="689" t="s">
        <v>269</v>
      </c>
      <c r="B72" s="30"/>
      <c r="C72" s="992"/>
      <c r="D72" s="1380"/>
      <c r="E72" s="563" t="s">
        <v>120</v>
      </c>
      <c r="F72" s="37"/>
      <c r="G72" s="6"/>
      <c r="H72" s="6"/>
      <c r="I72" s="6"/>
      <c r="J72" s="6"/>
      <c r="K72" s="26"/>
      <c r="L72" s="189"/>
      <c r="M72" s="179">
        <f t="shared" si="16"/>
        <v>0</v>
      </c>
      <c r="N72" s="173">
        <f t="shared" ref="N72" si="19">(F72/10)+(G72/10)+(H72/9)+(I72/8)+(J72/7)+(K72/6)+L72</f>
        <v>0</v>
      </c>
      <c r="O72" s="1302" t="str">
        <f t="shared" si="18"/>
        <v/>
      </c>
      <c r="P72" s="1304"/>
      <c r="Q72" s="376"/>
    </row>
    <row r="73" spans="1:17" ht="23.1" customHeight="1" thickBot="1" x14ac:dyDescent="0.35">
      <c r="Q73" s="376"/>
    </row>
    <row r="74" spans="1:17" ht="21.6" thickBot="1" x14ac:dyDescent="0.35">
      <c r="C74" s="1294" t="s">
        <v>27</v>
      </c>
      <c r="D74" s="1295"/>
      <c r="E74" s="1295"/>
      <c r="F74" s="1295"/>
      <c r="G74" s="1295"/>
      <c r="H74" s="1308" t="s">
        <v>186</v>
      </c>
      <c r="I74" s="1309"/>
      <c r="J74" s="1310"/>
      <c r="K74" s="579">
        <v>60</v>
      </c>
      <c r="L74" s="1315" t="s">
        <v>189</v>
      </c>
      <c r="M74" s="1316"/>
      <c r="N74" s="600">
        <v>600</v>
      </c>
      <c r="O74" s="1130" t="s">
        <v>185</v>
      </c>
      <c r="P74" s="1131"/>
      <c r="Q74" s="376"/>
    </row>
    <row r="75" spans="1:17" ht="24.75" customHeight="1" thickBot="1" x14ac:dyDescent="0.35">
      <c r="B75" s="778" t="s">
        <v>154</v>
      </c>
      <c r="C75" s="664" t="s">
        <v>0</v>
      </c>
      <c r="D75" s="444" t="s">
        <v>1</v>
      </c>
      <c r="E75" s="349" t="s">
        <v>2</v>
      </c>
      <c r="F75" s="41" t="s">
        <v>48</v>
      </c>
      <c r="G75" s="16">
        <v>10</v>
      </c>
      <c r="H75" s="16">
        <v>9</v>
      </c>
      <c r="I75" s="16">
        <v>8</v>
      </c>
      <c r="J75" s="16">
        <v>7</v>
      </c>
      <c r="K75" s="17">
        <v>6</v>
      </c>
      <c r="L75" s="761">
        <v>0</v>
      </c>
      <c r="M75" s="40" t="s">
        <v>9</v>
      </c>
      <c r="N75" s="745" t="s">
        <v>50</v>
      </c>
      <c r="O75" s="1132"/>
      <c r="P75" s="1133"/>
      <c r="Q75" s="376"/>
    </row>
    <row r="76" spans="1:17" ht="17.25" hidden="1" customHeight="1" thickBot="1" x14ac:dyDescent="0.35">
      <c r="A76" s="689" t="s">
        <v>271</v>
      </c>
      <c r="B76" s="30"/>
      <c r="C76" s="661"/>
      <c r="D76" s="564"/>
      <c r="E76" s="564" t="s">
        <v>120</v>
      </c>
      <c r="F76" s="35"/>
      <c r="G76" s="2"/>
      <c r="H76" s="2"/>
      <c r="I76" s="2"/>
      <c r="J76" s="2"/>
      <c r="K76" s="24"/>
      <c r="L76" s="162"/>
      <c r="M76" s="108">
        <f>SUM($F76:$L76)</f>
        <v>0</v>
      </c>
      <c r="N76" s="359">
        <f>(F76/10)+(G76/10)+(H76/9)+(I76/8)+(J76/7)+(K76/6)+L76</f>
        <v>0</v>
      </c>
      <c r="O76" s="1302" t="str">
        <f>IF(K76=0,"",IF(K76=60,"","Shot count Error"))</f>
        <v/>
      </c>
      <c r="P76" s="1304"/>
      <c r="Q76" s="376"/>
    </row>
    <row r="77" spans="1:17" ht="17.25" hidden="1" customHeight="1" thickBot="1" x14ac:dyDescent="0.35">
      <c r="A77" s="689" t="s">
        <v>271</v>
      </c>
      <c r="B77" s="30"/>
      <c r="C77" s="657"/>
      <c r="D77" s="565"/>
      <c r="E77" s="565" t="s">
        <v>120</v>
      </c>
      <c r="F77" s="38"/>
      <c r="G77" s="3"/>
      <c r="H77" s="3"/>
      <c r="I77" s="3"/>
      <c r="J77" s="3"/>
      <c r="K77" s="31"/>
      <c r="L77" s="161"/>
      <c r="M77" s="153">
        <f>SUM($F77:$L77)</f>
        <v>0</v>
      </c>
      <c r="N77" s="360">
        <f>(F77/10)+(G77/10)+(H77/9)+(I77/8)+(J77/7)+(K77/6)+L77</f>
        <v>0</v>
      </c>
      <c r="O77" s="1302" t="str">
        <f t="shared" ref="O77:O78" si="20">IF(K77=0,"",IF(K77=60,"","Shot count Error"))</f>
        <v/>
      </c>
      <c r="P77" s="1304"/>
      <c r="Q77" s="376"/>
    </row>
    <row r="78" spans="1:17" ht="17.25" hidden="1" customHeight="1" thickBot="1" x14ac:dyDescent="0.35">
      <c r="A78" s="689" t="s">
        <v>271</v>
      </c>
      <c r="B78" s="30"/>
      <c r="C78" s="660"/>
      <c r="D78" s="563"/>
      <c r="E78" s="563" t="s">
        <v>120</v>
      </c>
      <c r="F78" s="37"/>
      <c r="G78" s="6"/>
      <c r="H78" s="6"/>
      <c r="I78" s="6"/>
      <c r="J78" s="6"/>
      <c r="K78" s="26"/>
      <c r="L78" s="160"/>
      <c r="M78" s="154">
        <f>SUM($F78:$L78)</f>
        <v>0</v>
      </c>
      <c r="N78" s="361">
        <f>(F78/10)+(G78/10)+(H78/9)+(I78/8)+(J78/7)+(K78/6)+L78</f>
        <v>0</v>
      </c>
      <c r="O78" s="1302" t="str">
        <f t="shared" si="20"/>
        <v/>
      </c>
      <c r="P78" s="1304"/>
      <c r="Q78" s="376"/>
    </row>
    <row r="79" spans="1:17" ht="9.75" hidden="1" customHeight="1" x14ac:dyDescent="0.3">
      <c r="D79" s="13"/>
      <c r="E79" s="352"/>
      <c r="F79" s="10"/>
      <c r="G79" s="10"/>
      <c r="H79" s="10"/>
      <c r="I79" s="10"/>
      <c r="J79" s="10"/>
      <c r="K79" s="10"/>
      <c r="Q79" s="10"/>
    </row>
    <row r="80" spans="1:17" ht="15" hidden="1" customHeight="1" x14ac:dyDescent="0.3">
      <c r="Q80" s="10"/>
    </row>
    <row r="81" spans="1:18" ht="12" customHeight="1" x14ac:dyDescent="0.3">
      <c r="D81" s="13"/>
      <c r="E81" s="352"/>
      <c r="F81" s="10"/>
      <c r="G81" s="10"/>
      <c r="H81" s="10"/>
      <c r="I81" s="10"/>
      <c r="J81" s="10"/>
      <c r="K81" s="10"/>
      <c r="M81" s="10"/>
      <c r="N81" s="47"/>
      <c r="O81" s="47"/>
      <c r="P81" s="10"/>
      <c r="Q81" s="13"/>
    </row>
    <row r="82" spans="1:18" ht="25.2" customHeight="1" thickBot="1" x14ac:dyDescent="0.35">
      <c r="D82" s="13"/>
      <c r="E82" s="352"/>
      <c r="F82" s="10"/>
      <c r="G82" s="10"/>
      <c r="H82" s="10"/>
      <c r="I82" s="10"/>
      <c r="J82" s="10"/>
      <c r="K82" s="10"/>
      <c r="M82" s="10"/>
      <c r="N82" s="47"/>
      <c r="O82" s="47"/>
      <c r="P82" s="10"/>
      <c r="Q82" s="13"/>
    </row>
    <row r="83" spans="1:18" ht="25.2" customHeight="1" thickBot="1" x14ac:dyDescent="0.35">
      <c r="C83" s="1142" t="s">
        <v>107</v>
      </c>
      <c r="D83" s="1143"/>
      <c r="E83" s="1143"/>
      <c r="F83" s="1143"/>
      <c r="G83" s="1143"/>
      <c r="H83" s="1143"/>
      <c r="I83" s="1143"/>
      <c r="J83" s="1143"/>
      <c r="K83" s="1143"/>
      <c r="L83" s="1143"/>
      <c r="M83" s="1143"/>
      <c r="N83" s="1143"/>
      <c r="O83" s="1143"/>
      <c r="P83" s="1144"/>
    </row>
    <row r="84" spans="1:18" ht="25.2" customHeight="1" thickBot="1" x14ac:dyDescent="0.35"/>
    <row r="85" spans="1:18" ht="25.2" customHeight="1" thickBot="1" x14ac:dyDescent="0.35">
      <c r="C85" s="1164" t="s">
        <v>228</v>
      </c>
      <c r="D85" s="1165"/>
      <c r="E85" s="1165"/>
      <c r="F85" s="1165"/>
      <c r="G85" s="1165"/>
      <c r="H85" s="1165"/>
      <c r="I85" s="1165"/>
      <c r="J85" s="1165"/>
      <c r="K85" s="1165"/>
      <c r="L85" s="1165"/>
      <c r="M85" s="1165"/>
      <c r="N85" s="1165"/>
      <c r="O85" s="1165"/>
      <c r="P85" s="1165"/>
      <c r="Q85" s="1165"/>
      <c r="R85" s="1166"/>
    </row>
    <row r="86" spans="1:18" ht="25.2" customHeight="1" thickBot="1" x14ac:dyDescent="0.35">
      <c r="D86" s="13"/>
      <c r="E86" s="352"/>
      <c r="F86" s="10"/>
      <c r="G86" s="10"/>
      <c r="H86" s="10"/>
      <c r="I86" s="10"/>
      <c r="J86" s="10"/>
      <c r="K86" s="10"/>
      <c r="M86" s="10"/>
      <c r="N86" s="47"/>
      <c r="O86" s="47"/>
      <c r="P86" s="10"/>
      <c r="Q86" s="13"/>
    </row>
    <row r="87" spans="1:18" ht="21.75" customHeight="1" thickBot="1" x14ac:dyDescent="0.35">
      <c r="C87" s="1294" t="s">
        <v>29</v>
      </c>
      <c r="D87" s="1295"/>
      <c r="E87" s="1295"/>
      <c r="F87" s="1295"/>
      <c r="G87" s="1295"/>
      <c r="H87" s="1296"/>
      <c r="I87" s="1308" t="s">
        <v>186</v>
      </c>
      <c r="J87" s="1309"/>
      <c r="K87" s="1314"/>
      <c r="L87" s="579">
        <v>48</v>
      </c>
      <c r="M87" s="1315" t="s">
        <v>189</v>
      </c>
      <c r="N87" s="1316"/>
      <c r="O87" s="600">
        <v>480</v>
      </c>
      <c r="P87" s="1130" t="s">
        <v>185</v>
      </c>
      <c r="Q87" s="1341"/>
      <c r="R87" s="1131"/>
    </row>
    <row r="88" spans="1:18" ht="24" customHeight="1" thickBot="1" x14ac:dyDescent="0.35">
      <c r="B88" s="759" t="s">
        <v>154</v>
      </c>
      <c r="C88" s="677" t="s">
        <v>0</v>
      </c>
      <c r="D88" s="601" t="s">
        <v>1</v>
      </c>
      <c r="E88" s="350" t="s">
        <v>2</v>
      </c>
      <c r="F88" s="34" t="s">
        <v>48</v>
      </c>
      <c r="G88" s="12">
        <v>10</v>
      </c>
      <c r="H88" s="12">
        <v>9</v>
      </c>
      <c r="I88" s="12">
        <v>8</v>
      </c>
      <c r="J88" s="14">
        <v>7</v>
      </c>
      <c r="K88" s="58">
        <v>0</v>
      </c>
      <c r="L88" s="957" t="s">
        <v>9</v>
      </c>
      <c r="M88" s="204" t="s">
        <v>49</v>
      </c>
      <c r="N88" s="367" t="s">
        <v>79</v>
      </c>
      <c r="O88" s="368" t="s">
        <v>89</v>
      </c>
      <c r="P88" s="1132"/>
      <c r="Q88" s="1343"/>
      <c r="R88" s="1133"/>
    </row>
    <row r="89" spans="1:18" ht="17.100000000000001" customHeight="1" thickBot="1" x14ac:dyDescent="0.35">
      <c r="A89" s="689" t="s">
        <v>263</v>
      </c>
      <c r="B89" s="30" t="s">
        <v>248</v>
      </c>
      <c r="C89" s="659" t="s">
        <v>115</v>
      </c>
      <c r="D89" s="30">
        <v>1383</v>
      </c>
      <c r="E89" s="30" t="s">
        <v>18</v>
      </c>
      <c r="F89" s="39">
        <v>200</v>
      </c>
      <c r="G89" s="5">
        <v>150</v>
      </c>
      <c r="H89" s="5">
        <v>90</v>
      </c>
      <c r="I89" s="5">
        <v>24</v>
      </c>
      <c r="J89" s="32"/>
      <c r="K89" s="56"/>
      <c r="L89" s="953">
        <f>SUM($F89:$J89)</f>
        <v>464</v>
      </c>
      <c r="M89" s="758">
        <f t="shared" ref="M89:M92" si="21">(F89/10)+(G89/10)+(H89/9)+(I89/8)+(J89/7)+K89</f>
        <v>48</v>
      </c>
      <c r="N89" s="1317"/>
      <c r="O89" s="1318"/>
      <c r="P89" s="741"/>
      <c r="Q89" s="742"/>
      <c r="R89" s="743"/>
    </row>
    <row r="90" spans="1:18" ht="17.100000000000001" customHeight="1" thickBot="1" x14ac:dyDescent="0.35">
      <c r="A90" s="689" t="s">
        <v>263</v>
      </c>
      <c r="B90" s="563" t="s">
        <v>294</v>
      </c>
      <c r="C90" s="660" t="s">
        <v>297</v>
      </c>
      <c r="D90" s="563">
        <v>641</v>
      </c>
      <c r="E90" s="563" t="s">
        <v>18</v>
      </c>
      <c r="F90" s="37"/>
      <c r="G90" s="6"/>
      <c r="H90" s="6"/>
      <c r="I90" s="6"/>
      <c r="J90" s="26"/>
      <c r="K90" s="357"/>
      <c r="L90" s="958">
        <f>SUM($F90:$J90)</f>
        <v>0</v>
      </c>
      <c r="M90" s="279">
        <f t="shared" si="21"/>
        <v>0</v>
      </c>
      <c r="N90" s="1319"/>
      <c r="O90" s="1320"/>
      <c r="P90" s="734"/>
      <c r="Q90" s="740"/>
      <c r="R90" s="735"/>
    </row>
    <row r="91" spans="1:18" ht="17.100000000000001" customHeight="1" x14ac:dyDescent="0.3">
      <c r="B91" s="1005" t="s">
        <v>353</v>
      </c>
      <c r="C91" s="657" t="s">
        <v>206</v>
      </c>
      <c r="D91" s="565">
        <v>1041</v>
      </c>
      <c r="E91" s="346" t="s">
        <v>14</v>
      </c>
      <c r="F91" s="36">
        <v>230</v>
      </c>
      <c r="G91" s="1">
        <v>160</v>
      </c>
      <c r="H91" s="1">
        <v>63</v>
      </c>
      <c r="I91" s="1">
        <v>16</v>
      </c>
      <c r="J91" s="25"/>
      <c r="K91" s="1006"/>
      <c r="L91" s="954">
        <f t="shared" ref="L91:L93" si="22">SUM($F91:$J91)</f>
        <v>469</v>
      </c>
      <c r="M91" s="574">
        <f t="shared" si="21"/>
        <v>48</v>
      </c>
      <c r="N91" s="806" t="str">
        <f>IF(L91&gt;470,"Yes","NO")</f>
        <v>NO</v>
      </c>
      <c r="O91" s="703" t="str">
        <f>IF(N91="yes","HM","")</f>
        <v/>
      </c>
      <c r="P91" s="1350" t="str">
        <f t="shared" ref="P91:P92" si="23">IF(M91=0,"",IF(M91=48,"","Shot count Error"))</f>
        <v/>
      </c>
      <c r="Q91" s="1351"/>
      <c r="R91" s="1352"/>
    </row>
    <row r="92" spans="1:18" ht="17.100000000000001" customHeight="1" thickBot="1" x14ac:dyDescent="0.35">
      <c r="B92" s="1005"/>
      <c r="C92" s="657" t="s">
        <v>386</v>
      </c>
      <c r="D92" s="565">
        <v>169</v>
      </c>
      <c r="E92" s="348" t="s">
        <v>14</v>
      </c>
      <c r="F92" s="37">
        <v>270</v>
      </c>
      <c r="G92" s="6">
        <v>80</v>
      </c>
      <c r="H92" s="6">
        <v>108</v>
      </c>
      <c r="I92" s="6">
        <v>8</v>
      </c>
      <c r="J92" s="26"/>
      <c r="K92" s="357"/>
      <c r="L92" s="958">
        <f t="shared" si="22"/>
        <v>466</v>
      </c>
      <c r="M92" s="279">
        <f t="shared" si="21"/>
        <v>48</v>
      </c>
      <c r="N92" s="698" t="str">
        <f>IF(L92&gt;470,"Yes","NO")</f>
        <v>NO</v>
      </c>
      <c r="O92" s="700" t="str">
        <f>IF(N92="yes","HM","")</f>
        <v/>
      </c>
      <c r="P92" s="1305" t="str">
        <f t="shared" si="23"/>
        <v/>
      </c>
      <c r="Q92" s="1306"/>
      <c r="R92" s="1307"/>
    </row>
    <row r="93" spans="1:18" ht="17.100000000000001" customHeight="1" thickBot="1" x14ac:dyDescent="0.35">
      <c r="A93" s="689" t="s">
        <v>263</v>
      </c>
      <c r="B93" s="333" t="s">
        <v>305</v>
      </c>
      <c r="C93" s="687" t="s">
        <v>306</v>
      </c>
      <c r="D93" s="773">
        <v>1264</v>
      </c>
      <c r="E93" s="348" t="s">
        <v>14</v>
      </c>
      <c r="F93" s="37"/>
      <c r="G93" s="6"/>
      <c r="H93" s="6"/>
      <c r="I93" s="6"/>
      <c r="J93" s="26"/>
      <c r="K93" s="357"/>
      <c r="L93" s="958">
        <f t="shared" si="22"/>
        <v>0</v>
      </c>
      <c r="M93" s="279">
        <f t="shared" ref="M93:M94" si="24">(F93/10)+(G93/10)+(H93/9)+(I93/8)+(J93/7)+K93</f>
        <v>0</v>
      </c>
      <c r="N93" s="698" t="str">
        <f>IF(L93&gt;470,"Yes","NO")</f>
        <v>NO</v>
      </c>
      <c r="O93" s="700" t="str">
        <f>IF(N93="yes","HM","")</f>
        <v/>
      </c>
      <c r="P93" s="1305" t="str">
        <f t="shared" ref="P93:P94" si="25">IF(M93=0,"",IF(M93=48,"","Shot count Error"))</f>
        <v/>
      </c>
      <c r="Q93" s="1306"/>
      <c r="R93" s="1307"/>
    </row>
    <row r="94" spans="1:18" ht="17.100000000000001" customHeight="1" thickBot="1" x14ac:dyDescent="0.35">
      <c r="B94" s="692"/>
      <c r="C94" s="657" t="s">
        <v>225</v>
      </c>
      <c r="D94" s="772" t="s">
        <v>377</v>
      </c>
      <c r="E94" s="351" t="s">
        <v>15</v>
      </c>
      <c r="F94" s="39">
        <v>170</v>
      </c>
      <c r="G94" s="5">
        <v>160</v>
      </c>
      <c r="H94" s="5">
        <v>72</v>
      </c>
      <c r="I94" s="5">
        <v>40</v>
      </c>
      <c r="J94" s="32"/>
      <c r="K94" s="53">
        <v>2</v>
      </c>
      <c r="L94" s="953">
        <f t="shared" ref="L94:L97" si="26">SUM($F94:$J94)</f>
        <v>442</v>
      </c>
      <c r="M94" s="758">
        <f t="shared" si="24"/>
        <v>48</v>
      </c>
      <c r="N94" s="1105" t="str">
        <f t="shared" ref="N94" si="27">IF(L94&gt;460,"Yes","NO")</f>
        <v>NO</v>
      </c>
      <c r="O94" s="699" t="str">
        <f t="shared" ref="O94" si="28">IF(N94="yes","M","")</f>
        <v/>
      </c>
      <c r="P94" s="1302" t="str">
        <f t="shared" si="25"/>
        <v/>
      </c>
      <c r="Q94" s="1303"/>
      <c r="R94" s="1304"/>
    </row>
    <row r="95" spans="1:18" ht="17.100000000000001" customHeight="1" thickBot="1" x14ac:dyDescent="0.35">
      <c r="A95" s="689" t="s">
        <v>263</v>
      </c>
      <c r="B95" s="563" t="s">
        <v>34</v>
      </c>
      <c r="C95" s="660" t="s">
        <v>242</v>
      </c>
      <c r="D95" s="563">
        <v>1661</v>
      </c>
      <c r="E95" s="348" t="s">
        <v>15</v>
      </c>
      <c r="F95" s="37"/>
      <c r="G95" s="6"/>
      <c r="H95" s="6"/>
      <c r="I95" s="6"/>
      <c r="J95" s="26"/>
      <c r="K95" s="357"/>
      <c r="L95" s="958">
        <f t="shared" si="26"/>
        <v>0</v>
      </c>
      <c r="M95" s="279">
        <f t="shared" ref="M95:M96" si="29">(F95/10)+(G95/10)+(H95/9)+(I95/8)+(J95/7)+K95</f>
        <v>0</v>
      </c>
      <c r="N95" s="698" t="str">
        <f t="shared" ref="N95" si="30">IF(L95&gt;460,"Yes","NO")</f>
        <v>NO</v>
      </c>
      <c r="O95" s="700" t="str">
        <f t="shared" ref="O95" si="31">IF(N95="yes","M","")</f>
        <v/>
      </c>
      <c r="P95" s="1302" t="str">
        <f t="shared" ref="P95" si="32">IF(M95=0,"",IF(M95=48,"","Shot count Error"))</f>
        <v/>
      </c>
      <c r="Q95" s="1303"/>
      <c r="R95" s="1304"/>
    </row>
    <row r="96" spans="1:18" ht="17.100000000000001" customHeight="1" thickBot="1" x14ac:dyDescent="0.35">
      <c r="A96" s="689" t="s">
        <v>263</v>
      </c>
      <c r="B96" s="565"/>
      <c r="C96" s="657" t="s">
        <v>171</v>
      </c>
      <c r="D96" s="772">
        <v>1901</v>
      </c>
      <c r="E96" s="565" t="s">
        <v>16</v>
      </c>
      <c r="F96" s="38">
        <v>110</v>
      </c>
      <c r="G96" s="3">
        <v>150</v>
      </c>
      <c r="H96" s="3">
        <v>117</v>
      </c>
      <c r="I96" s="3">
        <v>48</v>
      </c>
      <c r="J96" s="31">
        <v>14</v>
      </c>
      <c r="K96" s="180">
        <v>1</v>
      </c>
      <c r="L96" s="959">
        <f t="shared" si="26"/>
        <v>439</v>
      </c>
      <c r="M96" s="308">
        <f t="shared" si="29"/>
        <v>48</v>
      </c>
      <c r="N96" s="804" t="str">
        <f>IF(L96&gt;441,"Yes","NO")</f>
        <v>NO</v>
      </c>
      <c r="O96" s="701" t="str">
        <f>IF(N96="yes","G","")</f>
        <v/>
      </c>
      <c r="P96" s="1128" t="str">
        <f t="shared" ref="P96:P103" si="33">IF(M96=0,"",IF(M96=48,"","Shot count Error"))</f>
        <v/>
      </c>
      <c r="Q96" s="1347"/>
      <c r="R96" s="1129"/>
    </row>
    <row r="97" spans="1:18" ht="17.100000000000001" customHeight="1" thickBot="1" x14ac:dyDescent="0.35">
      <c r="A97" s="689" t="s">
        <v>263</v>
      </c>
      <c r="B97" s="563" t="s">
        <v>321</v>
      </c>
      <c r="C97" s="660" t="s">
        <v>174</v>
      </c>
      <c r="D97" s="563">
        <v>2035</v>
      </c>
      <c r="E97" s="348" t="s">
        <v>16</v>
      </c>
      <c r="F97" s="36">
        <v>50</v>
      </c>
      <c r="G97" s="1">
        <v>100</v>
      </c>
      <c r="H97" s="1">
        <v>198</v>
      </c>
      <c r="I97" s="1">
        <v>64</v>
      </c>
      <c r="J97" s="25">
        <v>14</v>
      </c>
      <c r="K97" s="357">
        <v>1</v>
      </c>
      <c r="L97" s="958">
        <f t="shared" si="26"/>
        <v>426</v>
      </c>
      <c r="M97" s="279">
        <f t="shared" ref="M97" si="34">(F97/10)+(G97/10)+(H97/9)+(I97/8)+(J97/7)+K97</f>
        <v>48</v>
      </c>
      <c r="N97" s="698" t="str">
        <f t="shared" ref="N97" si="35">IF(L97&gt;441,"Yes","NO")</f>
        <v>NO</v>
      </c>
      <c r="O97" s="700" t="str">
        <f t="shared" ref="O97" si="36">IF(N97="yes","G","")</f>
        <v/>
      </c>
      <c r="P97" s="1153" t="str">
        <f t="shared" si="33"/>
        <v/>
      </c>
      <c r="Q97" s="1366"/>
      <c r="R97" s="1154"/>
    </row>
    <row r="98" spans="1:18" ht="17.100000000000001" customHeight="1" thickBot="1" x14ac:dyDescent="0.35">
      <c r="A98" s="689" t="s">
        <v>263</v>
      </c>
      <c r="B98" s="30" t="s">
        <v>284</v>
      </c>
      <c r="C98" s="661" t="s">
        <v>170</v>
      </c>
      <c r="D98" s="769">
        <v>1853</v>
      </c>
      <c r="E98" s="410" t="s">
        <v>17</v>
      </c>
      <c r="F98" s="137">
        <v>110</v>
      </c>
      <c r="G98" s="2">
        <v>110</v>
      </c>
      <c r="H98" s="2">
        <v>126</v>
      </c>
      <c r="I98" s="2">
        <v>72</v>
      </c>
      <c r="J98" s="24">
        <v>21</v>
      </c>
      <c r="K98" s="180"/>
      <c r="L98" s="953">
        <f t="shared" ref="L98:L103" si="37">SUM($F98:$J98)</f>
        <v>439</v>
      </c>
      <c r="M98" s="369">
        <f t="shared" ref="M98:M103" si="38">(F98/10)+(G98/10)+(H98/9)+(I98/8)+(J98/7)+K98</f>
        <v>48</v>
      </c>
      <c r="N98" s="808" t="str">
        <f t="shared" ref="N98:N103" si="39">IF(L98&gt;412,"Yes","NO")</f>
        <v>Yes</v>
      </c>
      <c r="O98" s="699" t="str">
        <f t="shared" ref="O98:O103" si="40">IF(N98="yes","S","")</f>
        <v>S</v>
      </c>
      <c r="P98" s="1302" t="str">
        <f t="shared" si="33"/>
        <v/>
      </c>
      <c r="Q98" s="1303"/>
      <c r="R98" s="1304"/>
    </row>
    <row r="99" spans="1:18" ht="17.100000000000001" customHeight="1" thickBot="1" x14ac:dyDescent="0.35">
      <c r="B99" s="30"/>
      <c r="C99" s="657" t="s">
        <v>380</v>
      </c>
      <c r="D99" s="772">
        <v>2786</v>
      </c>
      <c r="E99" s="409" t="s">
        <v>17</v>
      </c>
      <c r="F99" s="81">
        <v>100</v>
      </c>
      <c r="G99" s="82">
        <v>100</v>
      </c>
      <c r="H99" s="82">
        <v>81</v>
      </c>
      <c r="I99" s="82">
        <v>88</v>
      </c>
      <c r="J99" s="8">
        <v>35</v>
      </c>
      <c r="K99" s="54">
        <v>3</v>
      </c>
      <c r="L99" s="954">
        <f t="shared" si="37"/>
        <v>404</v>
      </c>
      <c r="M99" s="574">
        <f t="shared" si="38"/>
        <v>48</v>
      </c>
      <c r="N99" s="806" t="str">
        <f t="shared" si="39"/>
        <v>NO</v>
      </c>
      <c r="O99" s="703" t="str">
        <f t="shared" si="40"/>
        <v/>
      </c>
      <c r="P99" s="1302" t="str">
        <f t="shared" ref="P99:P100" si="41">IF(M99=0,"",IF(M99=48,"","Shot count Error"))</f>
        <v/>
      </c>
      <c r="Q99" s="1303"/>
      <c r="R99" s="1304"/>
    </row>
    <row r="100" spans="1:18" ht="17.100000000000001" customHeight="1" thickBot="1" x14ac:dyDescent="0.35">
      <c r="B100" s="30" t="s">
        <v>257</v>
      </c>
      <c r="C100" s="657" t="s">
        <v>219</v>
      </c>
      <c r="D100" s="772">
        <v>1982</v>
      </c>
      <c r="E100" s="409" t="s">
        <v>17</v>
      </c>
      <c r="F100" s="81">
        <v>150</v>
      </c>
      <c r="G100" s="82">
        <v>40</v>
      </c>
      <c r="H100" s="82">
        <v>135</v>
      </c>
      <c r="I100" s="82">
        <v>40</v>
      </c>
      <c r="J100" s="8">
        <v>7</v>
      </c>
      <c r="K100" s="54">
        <v>8</v>
      </c>
      <c r="L100" s="954">
        <f t="shared" si="37"/>
        <v>372</v>
      </c>
      <c r="M100" s="574">
        <f t="shared" si="38"/>
        <v>48</v>
      </c>
      <c r="N100" s="806" t="str">
        <f t="shared" si="39"/>
        <v>NO</v>
      </c>
      <c r="O100" s="703" t="str">
        <f t="shared" si="40"/>
        <v/>
      </c>
      <c r="P100" s="1302" t="str">
        <f t="shared" si="41"/>
        <v/>
      </c>
      <c r="Q100" s="1303"/>
      <c r="R100" s="1304"/>
    </row>
    <row r="101" spans="1:18" ht="17.100000000000001" customHeight="1" thickBot="1" x14ac:dyDescent="0.35">
      <c r="A101" s="689" t="s">
        <v>263</v>
      </c>
      <c r="B101" s="30" t="s">
        <v>262</v>
      </c>
      <c r="C101" s="665" t="s">
        <v>146</v>
      </c>
      <c r="D101" s="770">
        <v>1615</v>
      </c>
      <c r="E101" s="409" t="s">
        <v>17</v>
      </c>
      <c r="F101" s="81">
        <v>40</v>
      </c>
      <c r="G101" s="82">
        <v>60</v>
      </c>
      <c r="H101" s="82">
        <v>99</v>
      </c>
      <c r="I101" s="82">
        <v>96</v>
      </c>
      <c r="J101" s="8">
        <v>42</v>
      </c>
      <c r="K101" s="54">
        <v>9</v>
      </c>
      <c r="L101" s="954">
        <f t="shared" si="37"/>
        <v>337</v>
      </c>
      <c r="M101" s="574">
        <f t="shared" si="38"/>
        <v>48</v>
      </c>
      <c r="N101" s="806" t="str">
        <f t="shared" si="39"/>
        <v>NO</v>
      </c>
      <c r="O101" s="703" t="str">
        <f t="shared" si="40"/>
        <v/>
      </c>
      <c r="P101" s="1302" t="str">
        <f t="shared" si="33"/>
        <v/>
      </c>
      <c r="Q101" s="1303"/>
      <c r="R101" s="1304"/>
    </row>
    <row r="102" spans="1:18" ht="17.100000000000001" customHeight="1" thickBot="1" x14ac:dyDescent="0.35">
      <c r="A102" s="689" t="s">
        <v>263</v>
      </c>
      <c r="B102" s="716"/>
      <c r="C102" s="680" t="s">
        <v>366</v>
      </c>
      <c r="D102" s="767">
        <v>1624</v>
      </c>
      <c r="E102" s="417" t="s">
        <v>17</v>
      </c>
      <c r="F102" s="81">
        <v>30</v>
      </c>
      <c r="G102" s="82">
        <v>80</v>
      </c>
      <c r="H102" s="82">
        <v>153</v>
      </c>
      <c r="I102" s="82">
        <v>56</v>
      </c>
      <c r="J102" s="8"/>
      <c r="K102" s="54">
        <v>13</v>
      </c>
      <c r="L102" s="955">
        <f t="shared" si="37"/>
        <v>319</v>
      </c>
      <c r="M102" s="366">
        <f t="shared" si="38"/>
        <v>48</v>
      </c>
      <c r="N102" s="805" t="str">
        <f t="shared" si="39"/>
        <v>NO</v>
      </c>
      <c r="O102" s="638" t="str">
        <f t="shared" si="40"/>
        <v/>
      </c>
      <c r="P102" s="1302" t="str">
        <f t="shared" si="33"/>
        <v/>
      </c>
      <c r="Q102" s="1303"/>
      <c r="R102" s="1304"/>
    </row>
    <row r="103" spans="1:18" ht="17.100000000000001" customHeight="1" thickBot="1" x14ac:dyDescent="0.35">
      <c r="A103" s="689" t="s">
        <v>263</v>
      </c>
      <c r="B103" s="1054">
        <v>2</v>
      </c>
      <c r="C103" s="662" t="s">
        <v>302</v>
      </c>
      <c r="D103" s="782">
        <v>306</v>
      </c>
      <c r="E103" s="408" t="s">
        <v>17</v>
      </c>
      <c r="F103" s="139">
        <v>30</v>
      </c>
      <c r="G103" s="6">
        <v>50</v>
      </c>
      <c r="H103" s="6">
        <v>117</v>
      </c>
      <c r="I103" s="6">
        <v>48</v>
      </c>
      <c r="J103" s="26">
        <v>35</v>
      </c>
      <c r="K103" s="357">
        <v>16</v>
      </c>
      <c r="L103" s="956">
        <f t="shared" si="37"/>
        <v>280</v>
      </c>
      <c r="M103" s="566">
        <f t="shared" si="38"/>
        <v>48</v>
      </c>
      <c r="N103" s="807" t="str">
        <f t="shared" si="39"/>
        <v>NO</v>
      </c>
      <c r="O103" s="702" t="str">
        <f t="shared" si="40"/>
        <v/>
      </c>
      <c r="P103" s="1302" t="str">
        <f t="shared" si="33"/>
        <v/>
      </c>
      <c r="Q103" s="1303"/>
      <c r="R103" s="1304"/>
    </row>
    <row r="104" spans="1:18" ht="24.75" customHeight="1" thickBot="1" x14ac:dyDescent="0.35">
      <c r="B104" s="967">
        <f>COUNTA(B89:B103)</f>
        <v>10</v>
      </c>
      <c r="C104" s="888" t="s">
        <v>71</v>
      </c>
      <c r="D104" s="1152" t="s">
        <v>91</v>
      </c>
      <c r="E104" s="1337"/>
      <c r="F104" s="1337"/>
      <c r="G104" s="1337"/>
      <c r="H104" s="1337"/>
      <c r="I104" s="1337"/>
      <c r="J104" s="1337"/>
      <c r="K104" s="1337"/>
      <c r="L104" s="1337"/>
      <c r="M104" s="1338"/>
      <c r="N104" s="378"/>
      <c r="O104" s="697"/>
      <c r="P104" s="377"/>
      <c r="Q104" s="10"/>
    </row>
    <row r="105" spans="1:18" ht="12.6" customHeight="1" x14ac:dyDescent="0.3">
      <c r="N105" s="380"/>
      <c r="O105" s="379"/>
      <c r="P105" s="377"/>
      <c r="Q105" s="10"/>
    </row>
    <row r="106" spans="1:18" ht="15.6" customHeight="1" thickBot="1" x14ac:dyDescent="0.35">
      <c r="A106" s="689" t="s">
        <v>10</v>
      </c>
      <c r="N106" s="380"/>
      <c r="O106" s="379"/>
      <c r="P106" s="377"/>
      <c r="Q106" s="10"/>
    </row>
    <row r="107" spans="1:18" ht="21.6" thickBot="1" x14ac:dyDescent="0.35">
      <c r="B107" s="96"/>
      <c r="C107" s="1294" t="s">
        <v>30</v>
      </c>
      <c r="D107" s="1295"/>
      <c r="E107" s="1295"/>
      <c r="F107" s="1295"/>
      <c r="G107" s="1295"/>
      <c r="H107" s="1296"/>
      <c r="I107" s="1308" t="s">
        <v>186</v>
      </c>
      <c r="J107" s="1309"/>
      <c r="K107" s="1310"/>
      <c r="L107" s="579">
        <v>48</v>
      </c>
      <c r="M107" s="1315" t="s">
        <v>189</v>
      </c>
      <c r="N107" s="1316"/>
      <c r="O107" s="600">
        <v>480</v>
      </c>
      <c r="P107" s="1130" t="s">
        <v>185</v>
      </c>
      <c r="Q107" s="1341"/>
      <c r="R107" s="1131"/>
    </row>
    <row r="108" spans="1:18" ht="18.600000000000001" thickBot="1" x14ac:dyDescent="0.35">
      <c r="B108" s="778" t="s">
        <v>154</v>
      </c>
      <c r="C108" s="677" t="s">
        <v>0</v>
      </c>
      <c r="D108" s="444" t="s">
        <v>1</v>
      </c>
      <c r="E108" s="349" t="s">
        <v>2</v>
      </c>
      <c r="F108" s="34" t="s">
        <v>48</v>
      </c>
      <c r="G108" s="12">
        <v>10</v>
      </c>
      <c r="H108" s="12">
        <v>9</v>
      </c>
      <c r="I108" s="12">
        <v>8</v>
      </c>
      <c r="J108" s="14">
        <v>7</v>
      </c>
      <c r="K108" s="63">
        <v>0</v>
      </c>
      <c r="L108" s="73" t="s">
        <v>9</v>
      </c>
      <c r="M108" s="939" t="s">
        <v>49</v>
      </c>
      <c r="N108" s="428" t="s">
        <v>79</v>
      </c>
      <c r="O108" s="432" t="s">
        <v>89</v>
      </c>
      <c r="P108" s="1132"/>
      <c r="Q108" s="1343"/>
      <c r="R108" s="1133"/>
    </row>
    <row r="109" spans="1:18" ht="17.25" hidden="1" customHeight="1" thickBot="1" x14ac:dyDescent="0.35">
      <c r="B109" s="30"/>
      <c r="C109" s="661"/>
      <c r="D109" s="564"/>
      <c r="E109" s="370" t="s">
        <v>18</v>
      </c>
      <c r="F109" s="39"/>
      <c r="G109" s="5"/>
      <c r="H109" s="5"/>
      <c r="I109" s="5"/>
      <c r="J109" s="32"/>
      <c r="K109" s="53"/>
      <c r="L109" s="152">
        <f>SUM($F109:$J109)</f>
        <v>0</v>
      </c>
      <c r="M109" s="51">
        <f>(F109/10)+(G109/10)+(H109/9)+(I109/8)+(J109/7)+(K109)</f>
        <v>0</v>
      </c>
      <c r="N109" s="1359"/>
      <c r="O109" s="1156"/>
      <c r="P109" s="1302" t="str">
        <f>IF(M109=0,"",IF(M109=48,"","Shot count Error"))</f>
        <v/>
      </c>
      <c r="Q109" s="1303"/>
      <c r="R109" s="1304"/>
    </row>
    <row r="110" spans="1:18" ht="17.25" hidden="1" customHeight="1" thickBot="1" x14ac:dyDescent="0.35">
      <c r="A110" s="689" t="s">
        <v>272</v>
      </c>
      <c r="B110" s="30"/>
      <c r="C110" s="660"/>
      <c r="D110" s="563"/>
      <c r="E110" s="371" t="s">
        <v>18</v>
      </c>
      <c r="F110" s="39"/>
      <c r="G110" s="5"/>
      <c r="H110" s="5"/>
      <c r="I110" s="5"/>
      <c r="J110" s="32"/>
      <c r="K110" s="53"/>
      <c r="L110" s="363">
        <f t="shared" ref="L110:L116" si="42">SUM($F110:$J110)</f>
        <v>0</v>
      </c>
      <c r="M110" s="279">
        <f t="shared" ref="M110:M116" si="43">(F110/10)+(G110/10)+(H110/9)+(I110/8)+(J110/7)+K110</f>
        <v>0</v>
      </c>
      <c r="N110" s="1360"/>
      <c r="O110" s="1158"/>
      <c r="P110" s="1302" t="str">
        <f t="shared" ref="P110:P114" si="44">IF(M110=0,"",IF(M110=48,"","Shot count Error"))</f>
        <v/>
      </c>
      <c r="Q110" s="1303"/>
      <c r="R110" s="1304"/>
    </row>
    <row r="111" spans="1:18" ht="17.25" hidden="1" customHeight="1" thickBot="1" x14ac:dyDescent="0.35">
      <c r="B111" s="30"/>
      <c r="C111" s="659" t="s">
        <v>176</v>
      </c>
      <c r="D111" s="781">
        <v>2296</v>
      </c>
      <c r="E111" s="372" t="s">
        <v>14</v>
      </c>
      <c r="F111" s="39"/>
      <c r="G111" s="5"/>
      <c r="H111" s="5"/>
      <c r="I111" s="5"/>
      <c r="J111" s="32"/>
      <c r="K111" s="53"/>
      <c r="L111" s="362">
        <f t="shared" si="42"/>
        <v>0</v>
      </c>
      <c r="M111" s="308">
        <f t="shared" si="43"/>
        <v>0</v>
      </c>
      <c r="N111" s="704" t="str">
        <f>IF(L111&gt;470,"Yes","NO")</f>
        <v>NO</v>
      </c>
      <c r="O111" s="699" t="str">
        <f>IF(N111="yes","HM","")</f>
        <v/>
      </c>
      <c r="P111" s="1302" t="str">
        <f t="shared" si="44"/>
        <v/>
      </c>
      <c r="Q111" s="1303"/>
      <c r="R111" s="1304"/>
    </row>
    <row r="112" spans="1:18" ht="17.25" hidden="1" customHeight="1" thickBot="1" x14ac:dyDescent="0.35">
      <c r="A112" s="689" t="s">
        <v>272</v>
      </c>
      <c r="B112" s="30"/>
      <c r="C112" s="665"/>
      <c r="D112" s="724"/>
      <c r="E112" s="371" t="s">
        <v>14</v>
      </c>
      <c r="F112" s="39"/>
      <c r="G112" s="5"/>
      <c r="H112" s="5"/>
      <c r="I112" s="5"/>
      <c r="J112" s="32"/>
      <c r="K112" s="53"/>
      <c r="L112" s="363">
        <f t="shared" si="42"/>
        <v>0</v>
      </c>
      <c r="M112" s="279">
        <f t="shared" si="43"/>
        <v>0</v>
      </c>
      <c r="N112" s="400" t="str">
        <f>IF(L112&gt;470,"Yes","NO")</f>
        <v>NO</v>
      </c>
      <c r="O112" s="700" t="str">
        <f>IF(N112="yes","HM","")</f>
        <v/>
      </c>
      <c r="P112" s="1302" t="str">
        <f t="shared" si="44"/>
        <v/>
      </c>
      <c r="Q112" s="1303"/>
      <c r="R112" s="1304"/>
    </row>
    <row r="113" spans="1:18" ht="17.25" hidden="1" customHeight="1" thickBot="1" x14ac:dyDescent="0.35">
      <c r="A113" s="689" t="s">
        <v>272</v>
      </c>
      <c r="B113" s="30"/>
      <c r="C113" s="661" t="s">
        <v>169</v>
      </c>
      <c r="D113" s="564">
        <v>1475</v>
      </c>
      <c r="E113" s="373" t="s">
        <v>15</v>
      </c>
      <c r="F113" s="39"/>
      <c r="G113" s="5"/>
      <c r="H113" s="5"/>
      <c r="I113" s="5"/>
      <c r="J113" s="32"/>
      <c r="K113" s="53"/>
      <c r="L113" s="362">
        <f t="shared" si="42"/>
        <v>0</v>
      </c>
      <c r="M113" s="308">
        <f t="shared" si="43"/>
        <v>0</v>
      </c>
      <c r="N113" s="705" t="str">
        <f>IF(L113&gt;460,"Yes","NO")</f>
        <v>NO</v>
      </c>
      <c r="O113" s="701" t="str">
        <f>IF(N113="yes","M","")</f>
        <v/>
      </c>
      <c r="P113" s="1302" t="str">
        <f t="shared" si="44"/>
        <v/>
      </c>
      <c r="Q113" s="1303"/>
      <c r="R113" s="1304"/>
    </row>
    <row r="114" spans="1:18" ht="17.25" hidden="1" customHeight="1" thickBot="1" x14ac:dyDescent="0.35">
      <c r="A114" s="689" t="s">
        <v>272</v>
      </c>
      <c r="B114" s="30"/>
      <c r="C114" s="660"/>
      <c r="D114" s="563"/>
      <c r="E114" s="371" t="s">
        <v>15</v>
      </c>
      <c r="F114" s="39"/>
      <c r="G114" s="5"/>
      <c r="H114" s="5"/>
      <c r="I114" s="5"/>
      <c r="J114" s="32"/>
      <c r="K114" s="53"/>
      <c r="L114" s="363">
        <f t="shared" si="42"/>
        <v>0</v>
      </c>
      <c r="M114" s="279">
        <f t="shared" si="43"/>
        <v>0</v>
      </c>
      <c r="N114" s="400" t="str">
        <f>IF(L114&gt;460,"Yes","NO")</f>
        <v>NO</v>
      </c>
      <c r="O114" s="700" t="str">
        <f>IF(N114="yes","M","")</f>
        <v/>
      </c>
      <c r="P114" s="1302" t="str">
        <f t="shared" si="44"/>
        <v/>
      </c>
      <c r="Q114" s="1303"/>
      <c r="R114" s="1304"/>
    </row>
    <row r="115" spans="1:18" ht="17.25" hidden="1" customHeight="1" thickBot="1" x14ac:dyDescent="0.35">
      <c r="A115" s="689" t="s">
        <v>272</v>
      </c>
      <c r="B115" s="30"/>
      <c r="C115" s="667"/>
      <c r="D115" s="570"/>
      <c r="E115" s="373" t="s">
        <v>16</v>
      </c>
      <c r="F115" s="39"/>
      <c r="G115" s="5"/>
      <c r="H115" s="5"/>
      <c r="I115" s="5"/>
      <c r="J115" s="32"/>
      <c r="K115" s="53"/>
      <c r="L115" s="362">
        <f t="shared" si="42"/>
        <v>0</v>
      </c>
      <c r="M115" s="308">
        <f t="shared" si="43"/>
        <v>0</v>
      </c>
      <c r="N115" s="705" t="str">
        <f>IF(L115&gt;441,"Yes","NO")</f>
        <v>NO</v>
      </c>
      <c r="O115" s="701" t="str">
        <f>IF(N115="yes","G","")</f>
        <v/>
      </c>
      <c r="P115" s="1302" t="str">
        <f t="shared" ref="P115:P120" si="45">IF(M115=0,"",IF(M115=48,"","Shot count Error"))</f>
        <v/>
      </c>
      <c r="Q115" s="1303"/>
      <c r="R115" s="1304"/>
    </row>
    <row r="116" spans="1:18" ht="17.25" hidden="1" customHeight="1" thickBot="1" x14ac:dyDescent="0.35">
      <c r="A116" s="689" t="s">
        <v>272</v>
      </c>
      <c r="B116" s="30"/>
      <c r="C116" s="660"/>
      <c r="D116" s="563"/>
      <c r="E116" s="371" t="s">
        <v>16</v>
      </c>
      <c r="F116" s="39"/>
      <c r="G116" s="5"/>
      <c r="H116" s="5"/>
      <c r="I116" s="5"/>
      <c r="J116" s="32"/>
      <c r="K116" s="53"/>
      <c r="L116" s="363">
        <f t="shared" si="42"/>
        <v>0</v>
      </c>
      <c r="M116" s="279">
        <f t="shared" si="43"/>
        <v>0</v>
      </c>
      <c r="N116" s="400" t="str">
        <f>IF(L116&gt;441,"Yes","NO")</f>
        <v>NO</v>
      </c>
      <c r="O116" s="700" t="str">
        <f>IF(N116="yes","G","")</f>
        <v/>
      </c>
      <c r="P116" s="1302" t="str">
        <f t="shared" si="45"/>
        <v/>
      </c>
      <c r="Q116" s="1303"/>
      <c r="R116" s="1304"/>
    </row>
    <row r="117" spans="1:18" ht="17.25" hidden="1" customHeight="1" thickBot="1" x14ac:dyDescent="0.35">
      <c r="A117" s="689" t="s">
        <v>272</v>
      </c>
      <c r="B117" s="30"/>
      <c r="C117" s="661" t="s">
        <v>163</v>
      </c>
      <c r="D117" s="564">
        <v>1059</v>
      </c>
      <c r="E117" s="374" t="s">
        <v>17</v>
      </c>
      <c r="F117" s="39"/>
      <c r="G117" s="5"/>
      <c r="H117" s="5"/>
      <c r="I117" s="5"/>
      <c r="J117" s="32"/>
      <c r="K117" s="53"/>
      <c r="L117" s="362">
        <f>SUM($F117:$J117)</f>
        <v>0</v>
      </c>
      <c r="M117" s="365">
        <f>(F117/10)+(G117/10)+(H117/9)+(I117/8)+(J117/7)+K117</f>
        <v>0</v>
      </c>
      <c r="N117" s="399" t="str">
        <f>IF(L117&gt;412,"Yes","NO")</f>
        <v>NO</v>
      </c>
      <c r="O117" s="701" t="str">
        <f>IF(N117="yes","S","")</f>
        <v/>
      </c>
      <c r="P117" s="1302" t="str">
        <f t="shared" si="45"/>
        <v/>
      </c>
      <c r="Q117" s="1303"/>
      <c r="R117" s="1304"/>
    </row>
    <row r="118" spans="1:18" ht="17.25" hidden="1" customHeight="1" thickBot="1" x14ac:dyDescent="0.35">
      <c r="A118" s="689" t="s">
        <v>272</v>
      </c>
      <c r="B118" s="30"/>
      <c r="C118" s="666" t="s">
        <v>140</v>
      </c>
      <c r="D118" s="573">
        <v>1473</v>
      </c>
      <c r="E118" s="373" t="s">
        <v>17</v>
      </c>
      <c r="F118" s="39"/>
      <c r="G118" s="5"/>
      <c r="H118" s="5"/>
      <c r="I118" s="5"/>
      <c r="J118" s="32"/>
      <c r="K118" s="53"/>
      <c r="L118" s="364">
        <f>SUM($F118:$J118)</f>
        <v>0</v>
      </c>
      <c r="M118" s="366">
        <f>(F118/10)+(G118/10)+(H118/9)+(I118/8)+(J118/7)+K118</f>
        <v>0</v>
      </c>
      <c r="N118" s="706" t="str">
        <f>IF(L118&gt;412,"Yes","NO")</f>
        <v>NO</v>
      </c>
      <c r="O118" s="638" t="str">
        <f>IF(N118="yes","S","")</f>
        <v/>
      </c>
      <c r="P118" s="1302" t="str">
        <f t="shared" si="45"/>
        <v/>
      </c>
      <c r="Q118" s="1303"/>
      <c r="R118" s="1304"/>
    </row>
    <row r="119" spans="1:18" ht="17.25" hidden="1" customHeight="1" thickBot="1" x14ac:dyDescent="0.35">
      <c r="A119" s="689" t="s">
        <v>272</v>
      </c>
      <c r="B119" s="30"/>
      <c r="C119" s="666" t="s">
        <v>191</v>
      </c>
      <c r="D119" s="573">
        <v>1810</v>
      </c>
      <c r="E119" s="375" t="s">
        <v>17</v>
      </c>
      <c r="F119" s="39"/>
      <c r="G119" s="5"/>
      <c r="H119" s="5"/>
      <c r="I119" s="5"/>
      <c r="J119" s="32"/>
      <c r="K119" s="53"/>
      <c r="L119" s="364">
        <f>SUM($F119:$J119)</f>
        <v>0</v>
      </c>
      <c r="M119" s="366">
        <f>(F119/10)+(G119/10)+(H119/9)+(I119/8)+(J119/7)+K119</f>
        <v>0</v>
      </c>
      <c r="N119" s="706" t="str">
        <f>IF(L119&gt;412,"Yes","NO")</f>
        <v>NO</v>
      </c>
      <c r="O119" s="701" t="str">
        <f>IF(N119="yes","S","")</f>
        <v/>
      </c>
      <c r="P119" s="1302" t="str">
        <f t="shared" si="45"/>
        <v/>
      </c>
      <c r="Q119" s="1303"/>
      <c r="R119" s="1304"/>
    </row>
    <row r="120" spans="1:18" ht="17.25" hidden="1" customHeight="1" thickBot="1" x14ac:dyDescent="0.35">
      <c r="A120" s="689" t="s">
        <v>272</v>
      </c>
      <c r="B120" s="30"/>
      <c r="C120" s="660" t="s">
        <v>216</v>
      </c>
      <c r="D120" s="563">
        <v>2233</v>
      </c>
      <c r="E120" s="371" t="s">
        <v>17</v>
      </c>
      <c r="F120" s="37"/>
      <c r="G120" s="6"/>
      <c r="H120" s="6"/>
      <c r="I120" s="6"/>
      <c r="J120" s="26"/>
      <c r="K120" s="357"/>
      <c r="L120" s="363">
        <f>SUM($F120:$J120)</f>
        <v>0</v>
      </c>
      <c r="M120" s="279">
        <f>(F120/10)+(G120/10)+(H120/9)+(I120/8)+(J120/7)+K120</f>
        <v>0</v>
      </c>
      <c r="N120" s="400" t="str">
        <f>IF(L120&gt;412,"Yes","NO")</f>
        <v>NO</v>
      </c>
      <c r="O120" s="700" t="str">
        <f>IF(N120="yes","S","")</f>
        <v/>
      </c>
      <c r="P120" s="1302" t="str">
        <f t="shared" si="45"/>
        <v/>
      </c>
      <c r="Q120" s="1303"/>
      <c r="R120" s="1304"/>
    </row>
    <row r="121" spans="1:18" ht="26.25" hidden="1" customHeight="1" thickBot="1" x14ac:dyDescent="0.35">
      <c r="C121" s="888" t="s">
        <v>71</v>
      </c>
      <c r="D121" s="1356" t="s">
        <v>90</v>
      </c>
      <c r="E121" s="1357"/>
      <c r="F121" s="1357"/>
      <c r="G121" s="1357"/>
      <c r="H121" s="1357"/>
      <c r="I121" s="1357"/>
      <c r="J121" s="1357"/>
      <c r="K121" s="1357"/>
      <c r="L121" s="1357"/>
      <c r="M121" s="1358"/>
      <c r="N121" s="378"/>
      <c r="O121" s="379"/>
      <c r="P121" s="377"/>
      <c r="Q121" s="10"/>
    </row>
    <row r="122" spans="1:18" ht="16.5" hidden="1" customHeight="1" x14ac:dyDescent="0.3">
      <c r="D122" s="13"/>
      <c r="E122" s="10"/>
      <c r="F122" s="10"/>
      <c r="G122" s="10"/>
      <c r="H122" s="10"/>
      <c r="I122" s="10"/>
      <c r="J122" s="10"/>
      <c r="K122" s="10"/>
      <c r="L122" s="10"/>
      <c r="M122" s="10"/>
      <c r="N122" s="378"/>
      <c r="O122" s="379"/>
      <c r="P122" s="377"/>
      <c r="Q122" s="10"/>
    </row>
    <row r="123" spans="1:18" ht="13.5" customHeight="1" thickBot="1" x14ac:dyDescent="0.35">
      <c r="D123" s="13"/>
      <c r="E123" s="352"/>
      <c r="F123" s="10"/>
      <c r="G123" s="10"/>
      <c r="H123" s="10"/>
      <c r="I123" s="10"/>
      <c r="J123" s="10"/>
      <c r="K123" s="10"/>
      <c r="M123" s="10"/>
      <c r="N123" s="378"/>
      <c r="O123" s="379"/>
      <c r="P123" s="377"/>
      <c r="Q123" s="10"/>
    </row>
    <row r="124" spans="1:18" ht="21.6" thickBot="1" x14ac:dyDescent="0.35">
      <c r="C124" s="1294" t="s">
        <v>96</v>
      </c>
      <c r="D124" s="1295"/>
      <c r="E124" s="1295"/>
      <c r="F124" s="1311"/>
      <c r="G124" s="1311"/>
      <c r="H124" s="1311"/>
      <c r="I124" s="1312" t="s">
        <v>186</v>
      </c>
      <c r="J124" s="1313"/>
      <c r="K124" s="1314"/>
      <c r="L124" s="579">
        <v>60</v>
      </c>
      <c r="M124" s="1315" t="s">
        <v>189</v>
      </c>
      <c r="N124" s="1316"/>
      <c r="O124" s="600">
        <v>600</v>
      </c>
      <c r="P124" s="1130" t="s">
        <v>185</v>
      </c>
      <c r="Q124" s="1341"/>
      <c r="R124" s="1131"/>
    </row>
    <row r="125" spans="1:18" ht="18.600000000000001" thickBot="1" x14ac:dyDescent="0.35">
      <c r="B125" s="778" t="s">
        <v>154</v>
      </c>
      <c r="C125" s="664" t="s">
        <v>0</v>
      </c>
      <c r="D125" s="444" t="s">
        <v>1</v>
      </c>
      <c r="E125" s="507" t="s">
        <v>2</v>
      </c>
      <c r="F125" s="85" t="s">
        <v>48</v>
      </c>
      <c r="G125" s="16">
        <v>10</v>
      </c>
      <c r="H125" s="16">
        <v>9</v>
      </c>
      <c r="I125" s="16">
        <v>8</v>
      </c>
      <c r="J125" s="16">
        <v>7</v>
      </c>
      <c r="K125" s="941">
        <v>0</v>
      </c>
      <c r="L125" s="73" t="s">
        <v>9</v>
      </c>
      <c r="M125" s="739" t="s">
        <v>49</v>
      </c>
      <c r="N125" s="428" t="s">
        <v>79</v>
      </c>
      <c r="O125" s="432" t="s">
        <v>89</v>
      </c>
      <c r="P125" s="1343"/>
      <c r="Q125" s="1343"/>
      <c r="R125" s="1133"/>
    </row>
    <row r="126" spans="1:18" ht="17.100000000000001" hidden="1" customHeight="1" thickBot="1" x14ac:dyDescent="0.35">
      <c r="A126" s="689" t="s">
        <v>273</v>
      </c>
      <c r="B126" s="30"/>
      <c r="C126" s="659" t="s">
        <v>168</v>
      </c>
      <c r="D126" s="30">
        <v>1475</v>
      </c>
      <c r="E126" s="412" t="s">
        <v>18</v>
      </c>
      <c r="F126" s="90"/>
      <c r="G126" s="4"/>
      <c r="H126" s="4"/>
      <c r="I126" s="4"/>
      <c r="J126" s="4"/>
      <c r="K126" s="940"/>
      <c r="L126" s="108">
        <f t="shared" ref="L126:L137" si="46">SUM($F126:$J126)</f>
        <v>0</v>
      </c>
      <c r="M126" s="942">
        <f>(F126/10)+(G126/10)+(H126/9)+(I126/8)+(J126/7)+(K126)</f>
        <v>0</v>
      </c>
      <c r="N126" s="1155"/>
      <c r="O126" s="1156"/>
      <c r="P126" s="1303" t="str">
        <f>IF(M126=0,"",IF(M126=60,"","Shot count Error"))</f>
        <v/>
      </c>
      <c r="Q126" s="1303"/>
      <c r="R126" s="1304"/>
    </row>
    <row r="127" spans="1:18" ht="17.100000000000001" hidden="1" customHeight="1" thickBot="1" x14ac:dyDescent="0.35">
      <c r="A127" s="689" t="s">
        <v>273</v>
      </c>
      <c r="B127" s="30"/>
      <c r="C127" s="660" t="s">
        <v>197</v>
      </c>
      <c r="D127" s="563">
        <v>786</v>
      </c>
      <c r="E127" s="318" t="s">
        <v>18</v>
      </c>
      <c r="F127" s="81"/>
      <c r="G127" s="82"/>
      <c r="H127" s="82"/>
      <c r="I127" s="82"/>
      <c r="J127" s="82"/>
      <c r="K127" s="817"/>
      <c r="L127" s="154">
        <f t="shared" si="46"/>
        <v>0</v>
      </c>
      <c r="M127" s="943">
        <f t="shared" ref="M127:M137" si="47">(F127/10)+(G127/10)+(H127/9)+(I127/8)+(J127/7)+(K127)</f>
        <v>0</v>
      </c>
      <c r="N127" s="1157"/>
      <c r="O127" s="1158"/>
      <c r="P127" s="1303" t="str">
        <f t="shared" ref="P127:P137" si="48">IF(M127=0,"",IF(M127=60,"","Shot count Error"))</f>
        <v/>
      </c>
      <c r="Q127" s="1303"/>
      <c r="R127" s="1304"/>
    </row>
    <row r="128" spans="1:18" ht="17.100000000000001" hidden="1" customHeight="1" thickBot="1" x14ac:dyDescent="0.35">
      <c r="A128" s="689" t="s">
        <v>273</v>
      </c>
      <c r="B128" s="30"/>
      <c r="C128" s="657" t="s">
        <v>206</v>
      </c>
      <c r="D128" s="565">
        <v>1041</v>
      </c>
      <c r="E128" s="352" t="s">
        <v>14</v>
      </c>
      <c r="F128" s="81"/>
      <c r="G128" s="82"/>
      <c r="H128" s="82"/>
      <c r="I128" s="82"/>
      <c r="J128" s="82"/>
      <c r="K128" s="817"/>
      <c r="L128" s="167">
        <f t="shared" si="46"/>
        <v>0</v>
      </c>
      <c r="M128" s="64">
        <f t="shared" si="47"/>
        <v>0</v>
      </c>
      <c r="N128" s="576" t="str">
        <f>IF($L128&gt;589,"Yes","NO")</f>
        <v>NO</v>
      </c>
      <c r="O128" s="624" t="str">
        <f>IF(N128="yes","HM","")</f>
        <v/>
      </c>
      <c r="P128" s="1303" t="str">
        <f t="shared" si="48"/>
        <v/>
      </c>
      <c r="Q128" s="1303"/>
      <c r="R128" s="1304"/>
    </row>
    <row r="129" spans="1:18" ht="17.100000000000001" customHeight="1" x14ac:dyDescent="0.3">
      <c r="B129" s="30" t="s">
        <v>353</v>
      </c>
      <c r="C129" s="657" t="s">
        <v>206</v>
      </c>
      <c r="D129" s="565">
        <v>1041</v>
      </c>
      <c r="E129" s="342" t="s">
        <v>14</v>
      </c>
      <c r="F129" s="87">
        <v>130</v>
      </c>
      <c r="G129" s="1">
        <v>230</v>
      </c>
      <c r="H129" s="1">
        <v>189</v>
      </c>
      <c r="I129" s="1">
        <v>24</v>
      </c>
      <c r="J129" s="1"/>
      <c r="K129" s="948"/>
      <c r="L129" s="153">
        <f t="shared" si="46"/>
        <v>573</v>
      </c>
      <c r="M129" s="944">
        <f t="shared" si="47"/>
        <v>60</v>
      </c>
      <c r="N129" s="576" t="str">
        <f>IF($L129&gt;589,"Yes","NO")</f>
        <v>NO</v>
      </c>
      <c r="O129" s="624" t="str">
        <f>IF(N129="yes","HM","")</f>
        <v/>
      </c>
      <c r="P129" s="1351" t="str">
        <f t="shared" si="48"/>
        <v/>
      </c>
      <c r="Q129" s="1351"/>
      <c r="R129" s="1352"/>
    </row>
    <row r="130" spans="1:18" ht="17.100000000000001" customHeight="1" thickBot="1" x14ac:dyDescent="0.35">
      <c r="A130" s="689" t="s">
        <v>273</v>
      </c>
      <c r="B130" s="563" t="s">
        <v>248</v>
      </c>
      <c r="C130" s="660" t="s">
        <v>115</v>
      </c>
      <c r="D130" s="563">
        <v>1383</v>
      </c>
      <c r="E130" s="318" t="s">
        <v>14</v>
      </c>
      <c r="F130" s="139">
        <v>250</v>
      </c>
      <c r="G130" s="6">
        <v>120</v>
      </c>
      <c r="H130" s="6">
        <v>144</v>
      </c>
      <c r="I130" s="6">
        <v>56</v>
      </c>
      <c r="J130" s="6"/>
      <c r="K130" s="818"/>
      <c r="L130" s="154">
        <f t="shared" si="46"/>
        <v>570</v>
      </c>
      <c r="M130" s="943">
        <f t="shared" ref="M130" si="49">(F130/10)+(G130/10)+(H130/9)+(I130/8)+(J130/7)+(K130)</f>
        <v>60</v>
      </c>
      <c r="N130" s="577" t="str">
        <f>IF($L130&gt;589,"Yes","NO")</f>
        <v>NO</v>
      </c>
      <c r="O130" s="620" t="str">
        <f>IF(N130="yes","HM","")</f>
        <v/>
      </c>
      <c r="P130" s="1306" t="str">
        <f t="shared" ref="P130" si="50">IF(M130=0,"",IF(M130=60,"","Shot count Error"))</f>
        <v/>
      </c>
      <c r="Q130" s="1306"/>
      <c r="R130" s="1307"/>
    </row>
    <row r="131" spans="1:18" ht="17.100000000000001" customHeight="1" thickBot="1" x14ac:dyDescent="0.35">
      <c r="A131" s="689" t="s">
        <v>273</v>
      </c>
      <c r="B131" s="444" t="s">
        <v>294</v>
      </c>
      <c r="C131" s="912" t="s">
        <v>372</v>
      </c>
      <c r="D131" s="686">
        <v>169</v>
      </c>
      <c r="E131" s="444" t="s">
        <v>15</v>
      </c>
      <c r="F131" s="762">
        <v>190</v>
      </c>
      <c r="G131" s="19">
        <v>120</v>
      </c>
      <c r="H131" s="19">
        <v>243</v>
      </c>
      <c r="I131" s="19">
        <v>16</v>
      </c>
      <c r="J131" s="19"/>
      <c r="K131" s="961"/>
      <c r="L131" s="73">
        <f t="shared" si="46"/>
        <v>569</v>
      </c>
      <c r="M131" s="945">
        <f t="shared" ref="M131" si="51">(F131/10)+(G131/10)+(H131/9)+(I131/8)+(J131/7)+(K131)</f>
        <v>60</v>
      </c>
      <c r="N131" s="809" t="str">
        <f>IF($L131&gt;589,"Yes","NO")</f>
        <v>NO</v>
      </c>
      <c r="O131" s="810" t="str">
        <f>IF(N131="yes","HM","")</f>
        <v/>
      </c>
      <c r="P131" s="1306" t="str">
        <f t="shared" ref="P131" si="52">IF(M131=0,"",IF(M131=60,"","Shot count Error"))</f>
        <v/>
      </c>
      <c r="Q131" s="1306"/>
      <c r="R131" s="1307"/>
    </row>
    <row r="132" spans="1:18" ht="17.100000000000001" customHeight="1" thickBot="1" x14ac:dyDescent="0.35">
      <c r="A132" s="689" t="s">
        <v>273</v>
      </c>
      <c r="B132" s="724"/>
      <c r="C132" s="696" t="s">
        <v>225</v>
      </c>
      <c r="D132" s="559">
        <v>1268</v>
      </c>
      <c r="E132" s="573" t="s">
        <v>16</v>
      </c>
      <c r="F132" s="95">
        <v>50</v>
      </c>
      <c r="G132" s="82">
        <v>120</v>
      </c>
      <c r="H132" s="82">
        <v>279</v>
      </c>
      <c r="I132" s="82">
        <v>56</v>
      </c>
      <c r="J132" s="82">
        <v>35</v>
      </c>
      <c r="K132" s="950"/>
      <c r="L132" s="153">
        <f t="shared" si="46"/>
        <v>540</v>
      </c>
      <c r="M132" s="944">
        <f t="shared" si="47"/>
        <v>60</v>
      </c>
      <c r="N132" s="576" t="str">
        <f>IF($L132&gt;549,"Yes","NO")</f>
        <v>NO</v>
      </c>
      <c r="O132" s="624" t="str">
        <f>IF(N132="yes","G","")</f>
        <v/>
      </c>
      <c r="P132" s="1351" t="str">
        <f t="shared" si="48"/>
        <v/>
      </c>
      <c r="Q132" s="1351"/>
      <c r="R132" s="1352"/>
    </row>
    <row r="133" spans="1:18" ht="17.100000000000001" customHeight="1" x14ac:dyDescent="0.3">
      <c r="A133" s="689" t="s">
        <v>273</v>
      </c>
      <c r="B133" s="564"/>
      <c r="C133" s="661" t="s">
        <v>171</v>
      </c>
      <c r="D133" s="769">
        <v>1901</v>
      </c>
      <c r="E133" s="11" t="s">
        <v>17</v>
      </c>
      <c r="F133" s="137">
        <v>90</v>
      </c>
      <c r="G133" s="2">
        <v>150</v>
      </c>
      <c r="H133" s="2">
        <v>198</v>
      </c>
      <c r="I133" s="2">
        <v>80</v>
      </c>
      <c r="J133" s="2">
        <v>28</v>
      </c>
      <c r="K133" s="816"/>
      <c r="L133" s="152">
        <f t="shared" si="46"/>
        <v>546</v>
      </c>
      <c r="M133" s="946">
        <f t="shared" si="47"/>
        <v>60</v>
      </c>
      <c r="N133" s="863" t="str">
        <f t="shared" ref="N133:N137" si="53">IF($L133&gt;509,"Yes","NO")</f>
        <v>Yes</v>
      </c>
      <c r="O133" s="619" t="str">
        <f t="shared" ref="O133:O137" si="54">IF(N133="yes","S","")</f>
        <v>S</v>
      </c>
      <c r="P133" s="1361" t="str">
        <f t="shared" si="48"/>
        <v/>
      </c>
      <c r="Q133" s="1362"/>
      <c r="R133" s="1141"/>
    </row>
    <row r="134" spans="1:18" ht="17.100000000000001" customHeight="1" x14ac:dyDescent="0.3">
      <c r="B134" s="570" t="s">
        <v>284</v>
      </c>
      <c r="C134" s="667" t="s">
        <v>170</v>
      </c>
      <c r="D134" s="768">
        <v>1853</v>
      </c>
      <c r="E134" s="389" t="s">
        <v>17</v>
      </c>
      <c r="F134" s="81">
        <v>30</v>
      </c>
      <c r="G134" s="82">
        <v>100</v>
      </c>
      <c r="H134" s="82">
        <v>234</v>
      </c>
      <c r="I134" s="82">
        <v>112</v>
      </c>
      <c r="J134" s="82">
        <v>28</v>
      </c>
      <c r="K134" s="817">
        <v>3</v>
      </c>
      <c r="L134" s="168">
        <f t="shared" si="46"/>
        <v>504</v>
      </c>
      <c r="M134" s="947">
        <f t="shared" si="47"/>
        <v>60</v>
      </c>
      <c r="N134" s="733" t="str">
        <f t="shared" si="53"/>
        <v>NO</v>
      </c>
      <c r="O134" s="622" t="str">
        <f t="shared" si="54"/>
        <v/>
      </c>
      <c r="P134" s="1300" t="str">
        <f t="shared" si="48"/>
        <v/>
      </c>
      <c r="Q134" s="1301"/>
      <c r="R134" s="1125"/>
    </row>
    <row r="135" spans="1:18" ht="17.100000000000001" customHeight="1" x14ac:dyDescent="0.3">
      <c r="A135" s="689" t="s">
        <v>273</v>
      </c>
      <c r="B135" s="573" t="s">
        <v>230</v>
      </c>
      <c r="C135" s="666" t="s">
        <v>366</v>
      </c>
      <c r="D135" s="767">
        <v>1624</v>
      </c>
      <c r="E135" s="559" t="s">
        <v>17</v>
      </c>
      <c r="F135" s="81">
        <v>40</v>
      </c>
      <c r="G135" s="82">
        <v>70</v>
      </c>
      <c r="H135" s="82">
        <v>198</v>
      </c>
      <c r="I135" s="82">
        <v>104</v>
      </c>
      <c r="J135" s="82">
        <v>56</v>
      </c>
      <c r="K135" s="817">
        <v>6</v>
      </c>
      <c r="L135" s="168">
        <f t="shared" si="46"/>
        <v>468</v>
      </c>
      <c r="M135" s="947">
        <f t="shared" ref="M135" si="55">(F135/10)+(G135/10)+(H135/9)+(I135/8)+(J135/7)+(K135)</f>
        <v>60</v>
      </c>
      <c r="N135" s="733" t="str">
        <f t="shared" si="53"/>
        <v>NO</v>
      </c>
      <c r="O135" s="622" t="str">
        <f t="shared" ref="O135" si="56">IF(N135="yes","S","")</f>
        <v/>
      </c>
      <c r="P135" s="1300" t="str">
        <f t="shared" ref="P135" si="57">IF(M135=0,"",IF(M135=60,"","Shot count Error"))</f>
        <v/>
      </c>
      <c r="Q135" s="1301"/>
      <c r="R135" s="1125"/>
    </row>
    <row r="136" spans="1:18" ht="17.100000000000001" customHeight="1" x14ac:dyDescent="0.3">
      <c r="A136" s="689" t="s">
        <v>273</v>
      </c>
      <c r="B136" s="573"/>
      <c r="C136" s="666" t="s">
        <v>382</v>
      </c>
      <c r="D136" s="767">
        <v>2786</v>
      </c>
      <c r="E136" s="559" t="s">
        <v>17</v>
      </c>
      <c r="F136" s="81">
        <v>70</v>
      </c>
      <c r="G136" s="82">
        <v>90</v>
      </c>
      <c r="H136" s="82">
        <v>153</v>
      </c>
      <c r="I136" s="82">
        <v>80</v>
      </c>
      <c r="J136" s="82">
        <v>35</v>
      </c>
      <c r="K136" s="817">
        <v>12</v>
      </c>
      <c r="L136" s="168">
        <f t="shared" si="46"/>
        <v>428</v>
      </c>
      <c r="M136" s="947">
        <f t="shared" si="47"/>
        <v>60</v>
      </c>
      <c r="N136" s="733" t="str">
        <f t="shared" si="53"/>
        <v>NO</v>
      </c>
      <c r="O136" s="622" t="str">
        <f t="shared" si="54"/>
        <v/>
      </c>
      <c r="P136" s="1300" t="str">
        <f t="shared" si="48"/>
        <v/>
      </c>
      <c r="Q136" s="1301"/>
      <c r="R136" s="1125"/>
    </row>
    <row r="137" spans="1:18" ht="17.100000000000001" customHeight="1" thickBot="1" x14ac:dyDescent="0.35">
      <c r="A137" s="689" t="s">
        <v>273</v>
      </c>
      <c r="B137" s="563" t="s">
        <v>322</v>
      </c>
      <c r="C137" s="660" t="s">
        <v>379</v>
      </c>
      <c r="D137" s="563">
        <v>1615</v>
      </c>
      <c r="E137" s="318" t="s">
        <v>17</v>
      </c>
      <c r="F137" s="139">
        <v>30</v>
      </c>
      <c r="G137" s="6">
        <v>50</v>
      </c>
      <c r="H137" s="6">
        <v>99</v>
      </c>
      <c r="I137" s="6">
        <v>136</v>
      </c>
      <c r="J137" s="6">
        <v>98</v>
      </c>
      <c r="K137" s="818">
        <v>10</v>
      </c>
      <c r="L137" s="154">
        <f t="shared" si="46"/>
        <v>413</v>
      </c>
      <c r="M137" s="943">
        <f t="shared" si="47"/>
        <v>60</v>
      </c>
      <c r="N137" s="577" t="str">
        <f t="shared" si="53"/>
        <v>NO</v>
      </c>
      <c r="O137" s="620" t="str">
        <f t="shared" si="54"/>
        <v/>
      </c>
      <c r="P137" s="1339" t="str">
        <f t="shared" si="48"/>
        <v/>
      </c>
      <c r="Q137" s="1340"/>
      <c r="R137" s="1139"/>
    </row>
    <row r="138" spans="1:18" ht="24" customHeight="1" thickBot="1" x14ac:dyDescent="0.35">
      <c r="B138" s="967">
        <f>COUNTA(B130:B137)</f>
        <v>5</v>
      </c>
      <c r="C138" s="888" t="s">
        <v>71</v>
      </c>
      <c r="D138" s="1353" t="s">
        <v>103</v>
      </c>
      <c r="E138" s="1354"/>
      <c r="F138" s="1354"/>
      <c r="G138" s="1354"/>
      <c r="H138" s="1354"/>
      <c r="I138" s="1354"/>
      <c r="J138" s="1354"/>
      <c r="K138" s="1354"/>
      <c r="L138" s="1354"/>
      <c r="M138" s="1355"/>
      <c r="N138" s="380"/>
      <c r="O138" s="377"/>
      <c r="P138" s="380"/>
    </row>
    <row r="139" spans="1:18" ht="17.25" customHeight="1" x14ac:dyDescent="0.3">
      <c r="D139" s="13"/>
      <c r="E139" s="352"/>
      <c r="F139" s="10"/>
      <c r="G139" s="10"/>
      <c r="H139" s="10"/>
      <c r="I139" s="10"/>
      <c r="J139" s="10"/>
      <c r="K139" s="47"/>
      <c r="L139" s="49"/>
      <c r="M139" s="64"/>
      <c r="N139" s="380"/>
      <c r="O139" s="377"/>
      <c r="P139" s="380"/>
    </row>
    <row r="140" spans="1:18" ht="12.75" customHeight="1" thickBot="1" x14ac:dyDescent="0.35">
      <c r="N140" s="380"/>
      <c r="O140" s="377"/>
      <c r="P140" s="380"/>
    </row>
    <row r="141" spans="1:18" ht="21.6" thickBot="1" x14ac:dyDescent="0.35">
      <c r="C141" s="1294" t="s">
        <v>95</v>
      </c>
      <c r="D141" s="1295"/>
      <c r="E141" s="1295"/>
      <c r="F141" s="1295"/>
      <c r="G141" s="1295"/>
      <c r="H141" s="1296"/>
      <c r="I141" s="1308" t="s">
        <v>186</v>
      </c>
      <c r="J141" s="1309"/>
      <c r="K141" s="1310"/>
      <c r="L141" s="579">
        <v>60</v>
      </c>
      <c r="M141" s="1315" t="s">
        <v>189</v>
      </c>
      <c r="N141" s="1316"/>
      <c r="O141" s="600">
        <v>600</v>
      </c>
      <c r="P141" s="1130" t="s">
        <v>185</v>
      </c>
      <c r="Q141" s="1341"/>
      <c r="R141" s="1131"/>
    </row>
    <row r="142" spans="1:18" ht="21.75" customHeight="1" thickBot="1" x14ac:dyDescent="0.35">
      <c r="B142" s="759" t="s">
        <v>154</v>
      </c>
      <c r="C142" s="671" t="s">
        <v>0</v>
      </c>
      <c r="D142" s="96" t="s">
        <v>1</v>
      </c>
      <c r="E142" s="351" t="s">
        <v>2</v>
      </c>
      <c r="F142" s="97" t="s">
        <v>48</v>
      </c>
      <c r="G142" s="145">
        <v>10</v>
      </c>
      <c r="H142" s="145">
        <v>9</v>
      </c>
      <c r="I142" s="145">
        <v>8</v>
      </c>
      <c r="J142" s="143">
        <v>7</v>
      </c>
      <c r="K142" s="717">
        <v>0</v>
      </c>
      <c r="L142" s="811" t="s">
        <v>9</v>
      </c>
      <c r="M142" s="951" t="s">
        <v>49</v>
      </c>
      <c r="N142" s="355" t="s">
        <v>79</v>
      </c>
      <c r="O142" s="368" t="s">
        <v>89</v>
      </c>
      <c r="P142" s="1342"/>
      <c r="Q142" s="1342"/>
      <c r="R142" s="1322"/>
    </row>
    <row r="143" spans="1:18" ht="17.25" customHeight="1" x14ac:dyDescent="0.3">
      <c r="A143" s="689" t="s">
        <v>274</v>
      </c>
      <c r="B143" s="821" t="s">
        <v>322</v>
      </c>
      <c r="C143" s="715" t="s">
        <v>145</v>
      </c>
      <c r="D143" s="11">
        <v>1764</v>
      </c>
      <c r="E143" s="347" t="s">
        <v>15</v>
      </c>
      <c r="F143" s="35">
        <v>60</v>
      </c>
      <c r="G143" s="2">
        <v>140</v>
      </c>
      <c r="H143" s="2">
        <v>252</v>
      </c>
      <c r="I143" s="2">
        <v>56</v>
      </c>
      <c r="J143" s="2">
        <v>7</v>
      </c>
      <c r="K143" s="949">
        <v>4</v>
      </c>
      <c r="L143" s="152">
        <f>SUM($F143:$J143)</f>
        <v>515</v>
      </c>
      <c r="M143" s="946">
        <f t="shared" ref="M143:M146" si="58">(F143/10)+(G143/10)+(H143/9)+(I143/8)+(J143/7)+(K143)</f>
        <v>60</v>
      </c>
      <c r="N143" s="952" t="str">
        <f>IF($L143&gt;574,"Yes","NO")</f>
        <v>NO</v>
      </c>
      <c r="O143" s="619" t="str">
        <f>IF(N143="yes","M","")</f>
        <v/>
      </c>
      <c r="P143" s="1361" t="str">
        <f t="shared" ref="P143:P144" si="59">IF(M143=0,"",IF(M143=60,"","Shot count Error"))</f>
        <v/>
      </c>
      <c r="Q143" s="1362"/>
      <c r="R143" s="1141"/>
    </row>
    <row r="144" spans="1:18" ht="17.25" customHeight="1" x14ac:dyDescent="0.3">
      <c r="A144" s="689" t="s">
        <v>274</v>
      </c>
      <c r="B144" s="716" t="s">
        <v>300</v>
      </c>
      <c r="C144" s="973" t="s">
        <v>110</v>
      </c>
      <c r="D144" s="537">
        <v>1465</v>
      </c>
      <c r="E144" s="346" t="s">
        <v>15</v>
      </c>
      <c r="F144" s="36">
        <v>210</v>
      </c>
      <c r="G144" s="1">
        <v>170</v>
      </c>
      <c r="H144" s="1">
        <v>153</v>
      </c>
      <c r="I144" s="1">
        <v>40</v>
      </c>
      <c r="J144" s="1"/>
      <c r="K144" s="960"/>
      <c r="L144" s="153">
        <f>SUM($F144:$J144)</f>
        <v>573</v>
      </c>
      <c r="M144" s="944">
        <f t="shared" si="58"/>
        <v>60</v>
      </c>
      <c r="N144" s="578" t="str">
        <f>IF($L144&gt;574,"Yes","NO")</f>
        <v>NO</v>
      </c>
      <c r="O144" s="624" t="str">
        <f>IF(N144="yes","M","")</f>
        <v/>
      </c>
      <c r="P144" s="1367" t="str">
        <f t="shared" si="59"/>
        <v/>
      </c>
      <c r="Q144" s="1298"/>
      <c r="R144" s="1299"/>
    </row>
    <row r="145" spans="1:19" ht="17.25" customHeight="1" thickBot="1" x14ac:dyDescent="0.35">
      <c r="B145" s="784"/>
      <c r="C145" s="688" t="s">
        <v>380</v>
      </c>
      <c r="D145" s="92">
        <v>2786</v>
      </c>
      <c r="E145" s="563" t="s">
        <v>17</v>
      </c>
      <c r="F145" s="37">
        <v>40</v>
      </c>
      <c r="G145" s="6">
        <v>210</v>
      </c>
      <c r="H145" s="6">
        <v>153</v>
      </c>
      <c r="I145" s="6">
        <v>80</v>
      </c>
      <c r="J145" s="6">
        <v>42</v>
      </c>
      <c r="K145" s="1106">
        <v>2</v>
      </c>
      <c r="L145" s="154">
        <f>SUM($F145:$J145)-10</f>
        <v>515</v>
      </c>
      <c r="M145" s="943">
        <f t="shared" ref="M145" si="60">(F145/10)+(G145/10)+(H145/9)+(I145/8)+(J145/7)+(K145)</f>
        <v>60</v>
      </c>
      <c r="N145" s="388" t="str">
        <f>IF($L145&gt;574,"Yes","NO")</f>
        <v>NO</v>
      </c>
      <c r="O145" s="620" t="str">
        <f>IF(N145="yes","M","")</f>
        <v/>
      </c>
      <c r="P145" s="1297" t="s">
        <v>381</v>
      </c>
      <c r="Q145" s="1298"/>
      <c r="R145" s="1299"/>
    </row>
    <row r="146" spans="1:19" ht="17.25" customHeight="1" thickBot="1" x14ac:dyDescent="0.35">
      <c r="A146" s="689" t="s">
        <v>274</v>
      </c>
      <c r="B146" s="193" t="s">
        <v>262</v>
      </c>
      <c r="C146" s="912" t="s">
        <v>146</v>
      </c>
      <c r="D146" s="1381">
        <v>1615</v>
      </c>
      <c r="E146" s="349" t="s">
        <v>17</v>
      </c>
      <c r="F146" s="762">
        <v>20</v>
      </c>
      <c r="G146" s="19">
        <v>70</v>
      </c>
      <c r="H146" s="19">
        <v>180</v>
      </c>
      <c r="I146" s="19">
        <v>96</v>
      </c>
      <c r="J146" s="19">
        <v>63</v>
      </c>
      <c r="K146" s="961">
        <v>10</v>
      </c>
      <c r="L146" s="73">
        <f>SUM($F146:$J146)</f>
        <v>429</v>
      </c>
      <c r="M146" s="945">
        <f t="shared" si="58"/>
        <v>60</v>
      </c>
      <c r="N146" s="962" t="str">
        <f>IF($L146&gt;509,"Yes","NO")</f>
        <v>NO</v>
      </c>
      <c r="O146" s="810" t="str">
        <f>IF(N146="yes","S","")</f>
        <v/>
      </c>
      <c r="P146" s="1363" t="str">
        <f t="shared" ref="P146" si="61">IF(M146=0,"",IF(M146=60,"","Shot count Error"))</f>
        <v/>
      </c>
      <c r="Q146" s="1364"/>
      <c r="R146" s="1365"/>
    </row>
    <row r="147" spans="1:19" ht="30" customHeight="1" thickBot="1" x14ac:dyDescent="0.35">
      <c r="B147" s="967">
        <f>COUNTA(B143:B146)</f>
        <v>3</v>
      </c>
      <c r="C147" s="888" t="s">
        <v>71</v>
      </c>
      <c r="D147" s="1353" t="s">
        <v>103</v>
      </c>
      <c r="E147" s="1354"/>
      <c r="F147" s="1354"/>
      <c r="G147" s="1354"/>
      <c r="H147" s="1354"/>
      <c r="I147" s="1354"/>
      <c r="J147" s="1354"/>
      <c r="K147" s="1354"/>
      <c r="L147" s="1354"/>
      <c r="M147" s="1355"/>
      <c r="N147" s="380"/>
      <c r="O147" s="377"/>
      <c r="P147" s="380"/>
    </row>
    <row r="148" spans="1:19" ht="16.2" thickBot="1" x14ac:dyDescent="0.35">
      <c r="N148" s="380"/>
      <c r="O148" s="377"/>
      <c r="P148" s="380"/>
    </row>
    <row r="149" spans="1:19" ht="21.6" customHeight="1" thickBot="1" x14ac:dyDescent="0.35">
      <c r="C149" s="1294" t="s">
        <v>254</v>
      </c>
      <c r="D149" s="1295"/>
      <c r="E149" s="1295"/>
      <c r="F149" s="1295"/>
      <c r="G149" s="1295"/>
      <c r="H149" s="1296"/>
      <c r="I149" s="1308" t="s">
        <v>186</v>
      </c>
      <c r="J149" s="1309"/>
      <c r="K149" s="1310"/>
      <c r="L149" s="1038"/>
      <c r="M149" s="579" t="s">
        <v>255</v>
      </c>
      <c r="N149" s="1315" t="s">
        <v>189</v>
      </c>
      <c r="O149" s="1316"/>
      <c r="P149" s="1368"/>
      <c r="Q149" s="1369"/>
    </row>
    <row r="150" spans="1:19" ht="25.8" customHeight="1" thickBot="1" x14ac:dyDescent="0.35">
      <c r="B150" s="759" t="s">
        <v>154</v>
      </c>
      <c r="C150" s="671" t="s">
        <v>0</v>
      </c>
      <c r="D150" s="30" t="s">
        <v>1</v>
      </c>
      <c r="E150" s="412" t="s">
        <v>2</v>
      </c>
      <c r="F150" s="815" t="s">
        <v>48</v>
      </c>
      <c r="G150" s="107">
        <v>10</v>
      </c>
      <c r="H150" s="107">
        <v>9</v>
      </c>
      <c r="I150" s="107">
        <v>8</v>
      </c>
      <c r="J150" s="89">
        <v>7</v>
      </c>
      <c r="K150" s="186">
        <v>6</v>
      </c>
      <c r="L150" s="186">
        <v>5</v>
      </c>
      <c r="M150" s="58">
        <v>0</v>
      </c>
      <c r="N150" s="1071" t="s">
        <v>9</v>
      </c>
      <c r="O150" s="52" t="s">
        <v>49</v>
      </c>
      <c r="P150" s="1036"/>
      <c r="Q150" s="1037"/>
    </row>
    <row r="151" spans="1:19" ht="18.600000000000001" thickBot="1" x14ac:dyDescent="0.35">
      <c r="A151" s="689" t="s">
        <v>275</v>
      </c>
      <c r="B151" s="564"/>
      <c r="C151" s="661" t="s">
        <v>373</v>
      </c>
      <c r="D151" s="769">
        <v>1256</v>
      </c>
      <c r="E151" s="11" t="s">
        <v>256</v>
      </c>
      <c r="F151" s="137">
        <v>20</v>
      </c>
      <c r="G151" s="2">
        <v>100</v>
      </c>
      <c r="H151" s="2">
        <v>135</v>
      </c>
      <c r="I151" s="2">
        <v>24</v>
      </c>
      <c r="J151" s="2"/>
      <c r="K151" s="24"/>
      <c r="L151" s="24"/>
      <c r="M151" s="816"/>
      <c r="N151" s="802">
        <f t="shared" ref="N151:N157" si="62">SUM($F151:$L151)</f>
        <v>279</v>
      </c>
      <c r="O151" s="1070">
        <f>(F151/10)+(G151/10)+(H151/9)+(I151/8)+(J151/7)+(K151/6+$L151/5)+M151</f>
        <v>30</v>
      </c>
      <c r="P151" s="1302" t="str">
        <f>IF(O151=0,"",IF(O151=30,"","Shot count Error"))</f>
        <v/>
      </c>
      <c r="Q151" s="1304"/>
    </row>
    <row r="152" spans="1:19" ht="18.600000000000001" thickBot="1" x14ac:dyDescent="0.35">
      <c r="A152" s="689" t="s">
        <v>275</v>
      </c>
      <c r="B152" s="573" t="s">
        <v>277</v>
      </c>
      <c r="C152" s="666" t="s">
        <v>221</v>
      </c>
      <c r="D152" s="767">
        <v>1984</v>
      </c>
      <c r="E152" s="559" t="s">
        <v>256</v>
      </c>
      <c r="F152" s="81">
        <v>40</v>
      </c>
      <c r="G152" s="82">
        <v>40</v>
      </c>
      <c r="H152" s="82">
        <v>135</v>
      </c>
      <c r="I152" s="82">
        <v>48</v>
      </c>
      <c r="J152" s="82">
        <v>7</v>
      </c>
      <c r="K152" s="8"/>
      <c r="L152" s="8"/>
      <c r="M152" s="817"/>
      <c r="N152" s="798">
        <f t="shared" si="62"/>
        <v>270</v>
      </c>
      <c r="O152" s="707">
        <f t="shared" ref="O152:O157" si="63">(F152/10)+(G152/10)+(H152/9)+(I152/8)+(J152/7)+(K152/6+$L152/5)+M152</f>
        <v>30</v>
      </c>
      <c r="P152" s="1302" t="str">
        <f>IF(O152=0,"",IF(O152=30,"","Shot count Error"))</f>
        <v/>
      </c>
      <c r="Q152" s="1304"/>
    </row>
    <row r="153" spans="1:19" ht="18.600000000000001" thickBot="1" x14ac:dyDescent="0.35">
      <c r="A153" s="689" t="s">
        <v>275</v>
      </c>
      <c r="B153" s="573" t="s">
        <v>252</v>
      </c>
      <c r="C153" s="666" t="s">
        <v>220</v>
      </c>
      <c r="D153" s="573">
        <v>1983</v>
      </c>
      <c r="E153" s="559" t="s">
        <v>256</v>
      </c>
      <c r="F153" s="81">
        <v>40</v>
      </c>
      <c r="G153" s="82">
        <v>30</v>
      </c>
      <c r="H153" s="82">
        <v>144</v>
      </c>
      <c r="I153" s="82">
        <v>32</v>
      </c>
      <c r="J153" s="82">
        <v>14</v>
      </c>
      <c r="K153" s="8">
        <v>6</v>
      </c>
      <c r="L153" s="8"/>
      <c r="M153" s="817"/>
      <c r="N153" s="798">
        <f t="shared" si="62"/>
        <v>266</v>
      </c>
      <c r="O153" s="707">
        <f t="shared" si="63"/>
        <v>30</v>
      </c>
      <c r="P153" s="1302" t="str">
        <f t="shared" ref="P153:P157" si="64">IF(O153=0,"",IF(O153=30,"","Shot count Error"))</f>
        <v/>
      </c>
      <c r="Q153" s="1304"/>
    </row>
    <row r="154" spans="1:19" ht="18.600000000000001" thickBot="1" x14ac:dyDescent="0.35">
      <c r="A154" s="689" t="s">
        <v>275</v>
      </c>
      <c r="B154" s="573" t="s">
        <v>257</v>
      </c>
      <c r="C154" s="666" t="s">
        <v>219</v>
      </c>
      <c r="D154" s="573">
        <v>1982</v>
      </c>
      <c r="E154" s="559" t="s">
        <v>256</v>
      </c>
      <c r="F154" s="81">
        <v>0</v>
      </c>
      <c r="G154" s="82">
        <v>70</v>
      </c>
      <c r="H154" s="82">
        <v>108</v>
      </c>
      <c r="I154" s="82">
        <v>56</v>
      </c>
      <c r="J154" s="82">
        <v>14</v>
      </c>
      <c r="K154" s="8">
        <v>6</v>
      </c>
      <c r="L154" s="8"/>
      <c r="M154" s="817">
        <v>1</v>
      </c>
      <c r="N154" s="798">
        <f t="shared" si="62"/>
        <v>254</v>
      </c>
      <c r="O154" s="707">
        <f t="shared" si="63"/>
        <v>30</v>
      </c>
      <c r="P154" s="1302" t="str">
        <f t="shared" si="64"/>
        <v/>
      </c>
      <c r="Q154" s="1304"/>
    </row>
    <row r="155" spans="1:19" ht="18.600000000000001" thickBot="1" x14ac:dyDescent="0.35">
      <c r="B155" s="573" t="s">
        <v>319</v>
      </c>
      <c r="C155" s="666" t="s">
        <v>320</v>
      </c>
      <c r="D155" s="767">
        <v>283</v>
      </c>
      <c r="E155" s="559" t="s">
        <v>256</v>
      </c>
      <c r="F155" s="81">
        <v>40</v>
      </c>
      <c r="G155" s="82">
        <v>30</v>
      </c>
      <c r="H155" s="82">
        <v>72</v>
      </c>
      <c r="I155" s="82">
        <v>88</v>
      </c>
      <c r="J155" s="82">
        <v>7</v>
      </c>
      <c r="K155" s="8">
        <v>6</v>
      </c>
      <c r="L155" s="8">
        <v>5</v>
      </c>
      <c r="M155" s="817">
        <v>1</v>
      </c>
      <c r="N155" s="798">
        <f t="shared" si="62"/>
        <v>248</v>
      </c>
      <c r="O155" s="707">
        <f t="shared" ref="O155" si="65">(F155/10)+(G155/10)+(H155/9)+(I155/8)+(J155/7)+(K155/6+$L155/5)+M155</f>
        <v>30</v>
      </c>
      <c r="P155" s="1302" t="str">
        <f t="shared" ref="P155" si="66">IF(O155=0,"",IF(O155=30,"","Shot count Error"))</f>
        <v/>
      </c>
      <c r="Q155" s="1304"/>
    </row>
    <row r="156" spans="1:19" ht="18.600000000000001" thickBot="1" x14ac:dyDescent="0.35">
      <c r="A156" s="689" t="s">
        <v>275</v>
      </c>
      <c r="B156" s="573" t="s">
        <v>291</v>
      </c>
      <c r="C156" s="666" t="s">
        <v>292</v>
      </c>
      <c r="D156" s="573">
        <v>1991</v>
      </c>
      <c r="E156" s="559" t="s">
        <v>256</v>
      </c>
      <c r="F156" s="81">
        <v>20</v>
      </c>
      <c r="G156" s="82">
        <v>70</v>
      </c>
      <c r="H156" s="82">
        <v>63</v>
      </c>
      <c r="I156" s="82">
        <v>24</v>
      </c>
      <c r="J156" s="82">
        <v>35</v>
      </c>
      <c r="K156" s="8">
        <v>6</v>
      </c>
      <c r="L156" s="8"/>
      <c r="M156" s="817">
        <v>5</v>
      </c>
      <c r="N156" s="798">
        <f t="shared" si="62"/>
        <v>218</v>
      </c>
      <c r="O156" s="707">
        <f t="shared" si="63"/>
        <v>30</v>
      </c>
      <c r="P156" s="1302" t="str">
        <f t="shared" si="64"/>
        <v/>
      </c>
      <c r="Q156" s="1304"/>
    </row>
    <row r="157" spans="1:19" ht="18.600000000000001" thickBot="1" x14ac:dyDescent="0.35">
      <c r="A157" s="689" t="s">
        <v>275</v>
      </c>
      <c r="B157" s="563" t="s">
        <v>300</v>
      </c>
      <c r="C157" s="660" t="s">
        <v>110</v>
      </c>
      <c r="D157" s="563">
        <v>1465</v>
      </c>
      <c r="E157" s="92" t="s">
        <v>256</v>
      </c>
      <c r="F157" s="139"/>
      <c r="G157" s="6"/>
      <c r="H157" s="6"/>
      <c r="I157" s="6"/>
      <c r="J157" s="6"/>
      <c r="K157" s="26"/>
      <c r="L157" s="26"/>
      <c r="M157" s="818"/>
      <c r="N157" s="179">
        <f t="shared" si="62"/>
        <v>0</v>
      </c>
      <c r="O157" s="358">
        <f t="shared" si="63"/>
        <v>0</v>
      </c>
      <c r="P157" s="1302" t="str">
        <f t="shared" si="64"/>
        <v/>
      </c>
      <c r="Q157" s="1304"/>
    </row>
    <row r="158" spans="1:19" ht="22.8" customHeight="1" thickBot="1" x14ac:dyDescent="0.35">
      <c r="B158" s="967">
        <f>COUNTA(B151:B157)</f>
        <v>6</v>
      </c>
      <c r="N158" s="380"/>
      <c r="O158" s="377"/>
      <c r="P158" s="380"/>
    </row>
    <row r="159" spans="1:19" ht="16.2" thickBot="1" x14ac:dyDescent="0.35">
      <c r="B159" s="979"/>
      <c r="N159" s="380"/>
      <c r="O159" s="377"/>
      <c r="P159" s="380"/>
    </row>
    <row r="160" spans="1:19" ht="21.6" thickBot="1" x14ac:dyDescent="0.35">
      <c r="C160" s="1294" t="s">
        <v>264</v>
      </c>
      <c r="D160" s="1295"/>
      <c r="E160" s="1295"/>
      <c r="F160" s="1295"/>
      <c r="G160" s="1295"/>
      <c r="H160" s="1296"/>
      <c r="I160" s="1308" t="s">
        <v>186</v>
      </c>
      <c r="J160" s="1309"/>
      <c r="K160" s="1310"/>
      <c r="L160" s="1038"/>
      <c r="M160" s="579" t="s">
        <v>255</v>
      </c>
      <c r="N160" s="1315" t="s">
        <v>189</v>
      </c>
      <c r="O160" s="1316"/>
      <c r="P160" s="600" t="s">
        <v>255</v>
      </c>
      <c r="Q160" s="1130" t="s">
        <v>185</v>
      </c>
      <c r="R160" s="1341"/>
      <c r="S160" s="1131"/>
    </row>
    <row r="161" spans="1:19" ht="22.8" customHeight="1" thickBot="1" x14ac:dyDescent="0.35">
      <c r="B161" s="759" t="s">
        <v>154</v>
      </c>
      <c r="C161" s="671" t="s">
        <v>0</v>
      </c>
      <c r="D161" s="30" t="s">
        <v>1</v>
      </c>
      <c r="E161" s="372" t="s">
        <v>2</v>
      </c>
      <c r="F161" s="97" t="s">
        <v>48</v>
      </c>
      <c r="G161" s="145">
        <v>5</v>
      </c>
      <c r="H161" s="145">
        <v>4</v>
      </c>
      <c r="I161" s="145">
        <v>3</v>
      </c>
      <c r="J161" s="143">
        <v>2</v>
      </c>
      <c r="K161" s="58">
        <v>0</v>
      </c>
      <c r="L161" s="58">
        <v>0</v>
      </c>
      <c r="M161" s="822" t="s">
        <v>9</v>
      </c>
      <c r="N161" s="48" t="s">
        <v>49</v>
      </c>
      <c r="O161" s="355" t="s">
        <v>79</v>
      </c>
      <c r="P161" s="368" t="s">
        <v>89</v>
      </c>
      <c r="Q161" s="1132"/>
      <c r="R161" s="1343"/>
      <c r="S161" s="1133"/>
    </row>
    <row r="162" spans="1:19" ht="18.600000000000001" thickBot="1" x14ac:dyDescent="0.35">
      <c r="A162" s="689" t="s">
        <v>276</v>
      </c>
      <c r="B162" s="821" t="s">
        <v>249</v>
      </c>
      <c r="C162" s="1376" t="s">
        <v>343</v>
      </c>
      <c r="D162" s="564">
        <v>1618</v>
      </c>
      <c r="E162" s="812" t="s">
        <v>256</v>
      </c>
      <c r="F162" s="2">
        <v>20</v>
      </c>
      <c r="G162" s="2">
        <v>15</v>
      </c>
      <c r="H162" s="2">
        <v>52</v>
      </c>
      <c r="I162" s="2">
        <v>9</v>
      </c>
      <c r="J162" s="2">
        <v>2</v>
      </c>
      <c r="K162" s="816"/>
      <c r="L162" s="816"/>
      <c r="M162" s="797">
        <f>SUM($F162:$J162)</f>
        <v>98</v>
      </c>
      <c r="N162" s="51">
        <f>(F162/5)+(G162/5)+(H162/4)+(I162/3)+(J162/2)+(K162)</f>
        <v>24</v>
      </c>
      <c r="O162" s="1370" t="str">
        <f>IF(O164="yes","HM","")</f>
        <v/>
      </c>
      <c r="P162" s="1371"/>
      <c r="Q162" s="1303" t="str">
        <f>IF(N162=0,"",IF(N162=24,"","Shot count Error"))</f>
        <v/>
      </c>
      <c r="R162" s="1303"/>
      <c r="S162" s="1304"/>
    </row>
    <row r="163" spans="1:19" ht="18.600000000000001" thickBot="1" x14ac:dyDescent="0.35">
      <c r="A163" s="689" t="s">
        <v>276</v>
      </c>
      <c r="B163" s="84"/>
      <c r="C163" s="680" t="s">
        <v>373</v>
      </c>
      <c r="D163" s="573">
        <v>1256</v>
      </c>
      <c r="E163" s="813" t="s">
        <v>256</v>
      </c>
      <c r="F163" s="82">
        <v>0</v>
      </c>
      <c r="G163" s="82">
        <v>40</v>
      </c>
      <c r="H163" s="82">
        <v>32</v>
      </c>
      <c r="I163" s="82">
        <v>21</v>
      </c>
      <c r="J163" s="82">
        <v>2</v>
      </c>
      <c r="K163" s="817"/>
      <c r="L163" s="817"/>
      <c r="M163" s="798">
        <f>SUM($F163:$J163)</f>
        <v>95</v>
      </c>
      <c r="N163" s="707">
        <f t="shared" ref="N163:N166" si="67">(F163/5)+(G163/5)+(H163/4)+(I163/3)+(J163/2)+(K163)</f>
        <v>24</v>
      </c>
      <c r="O163" s="1372"/>
      <c r="P163" s="1373"/>
      <c r="Q163" s="1303" t="str">
        <f t="shared" ref="Q163:Q166" si="68">IF(N163=0,"",IF(N163=24,"","Shot count Error"))</f>
        <v/>
      </c>
      <c r="R163" s="1303"/>
      <c r="S163" s="1304"/>
    </row>
    <row r="164" spans="1:19" ht="18.600000000000001" thickBot="1" x14ac:dyDescent="0.35">
      <c r="A164" s="689" t="s">
        <v>276</v>
      </c>
      <c r="B164" s="84" t="s">
        <v>257</v>
      </c>
      <c r="C164" s="680" t="s">
        <v>219</v>
      </c>
      <c r="D164" s="573">
        <v>1982</v>
      </c>
      <c r="E164" s="813" t="s">
        <v>256</v>
      </c>
      <c r="F164" s="82">
        <v>0</v>
      </c>
      <c r="G164" s="82">
        <v>20</v>
      </c>
      <c r="H164" s="82">
        <v>4</v>
      </c>
      <c r="I164" s="82">
        <v>36</v>
      </c>
      <c r="J164" s="82">
        <v>12</v>
      </c>
      <c r="K164" s="817"/>
      <c r="L164" s="817">
        <v>1</v>
      </c>
      <c r="M164" s="798">
        <f>SUM($F164:$J164)</f>
        <v>72</v>
      </c>
      <c r="N164" s="1070">
        <f>(F164/5)+(G164/5)+(H164/4)+(I164/3)+(J164/2)+(K164)+L164</f>
        <v>24</v>
      </c>
      <c r="O164" s="1372"/>
      <c r="P164" s="1373"/>
      <c r="Q164" s="1303" t="str">
        <f t="shared" si="68"/>
        <v/>
      </c>
      <c r="R164" s="1303"/>
      <c r="S164" s="1304"/>
    </row>
    <row r="165" spans="1:19" ht="18.600000000000001" thickBot="1" x14ac:dyDescent="0.35">
      <c r="A165" s="689" t="s">
        <v>276</v>
      </c>
      <c r="B165" s="84"/>
      <c r="C165" s="680"/>
      <c r="D165" s="573"/>
      <c r="E165" s="813" t="s">
        <v>256</v>
      </c>
      <c r="F165" s="82"/>
      <c r="G165" s="82"/>
      <c r="H165" s="82"/>
      <c r="I165" s="82"/>
      <c r="J165" s="82"/>
      <c r="K165" s="817"/>
      <c r="L165" s="817"/>
      <c r="M165" s="798">
        <f t="shared" ref="M165" si="69">SUM($F165:$J165)</f>
        <v>0</v>
      </c>
      <c r="N165" s="820">
        <f t="shared" si="67"/>
        <v>0</v>
      </c>
      <c r="O165" s="1372"/>
      <c r="P165" s="1373"/>
      <c r="Q165" s="1303" t="str">
        <f t="shared" si="68"/>
        <v/>
      </c>
      <c r="R165" s="1303"/>
      <c r="S165" s="1304"/>
    </row>
    <row r="166" spans="1:19" ht="18.600000000000001" thickBot="1" x14ac:dyDescent="0.35">
      <c r="A166" s="689" t="s">
        <v>276</v>
      </c>
      <c r="B166" s="784"/>
      <c r="C166" s="687"/>
      <c r="D166" s="563"/>
      <c r="E166" s="814" t="s">
        <v>256</v>
      </c>
      <c r="F166" s="6"/>
      <c r="G166" s="6"/>
      <c r="H166" s="6"/>
      <c r="I166" s="6"/>
      <c r="J166" s="6"/>
      <c r="K166" s="818"/>
      <c r="L166" s="818"/>
      <c r="M166" s="799">
        <f>SUM($F166:$J166)</f>
        <v>0</v>
      </c>
      <c r="N166" s="820">
        <f t="shared" si="67"/>
        <v>0</v>
      </c>
      <c r="O166" s="1374"/>
      <c r="P166" s="1375"/>
      <c r="Q166" s="1303" t="str">
        <f t="shared" si="68"/>
        <v/>
      </c>
      <c r="R166" s="1303"/>
      <c r="S166" s="1304"/>
    </row>
    <row r="167" spans="1:19" ht="22.2" customHeight="1" thickBot="1" x14ac:dyDescent="0.35">
      <c r="B167" s="967">
        <f>COUNTA(B162:B166)</f>
        <v>2</v>
      </c>
    </row>
    <row r="168" spans="1:19" ht="16.2" thickBot="1" x14ac:dyDescent="0.35"/>
    <row r="169" spans="1:19" ht="22.2" customHeight="1" thickBot="1" x14ac:dyDescent="0.35">
      <c r="B169" s="984">
        <f>B167+B158+B147+B138+B104+B64+B30</f>
        <v>28</v>
      </c>
      <c r="C169" s="982" t="s">
        <v>340</v>
      </c>
    </row>
  </sheetData>
  <sortState xmlns:xlrd2="http://schemas.microsoft.com/office/spreadsheetml/2017/richdata2" ref="B162:M164">
    <sortCondition descending="1" ref="M162:M164"/>
  </sortState>
  <mergeCells count="129">
    <mergeCell ref="P151:Q151"/>
    <mergeCell ref="P152:Q152"/>
    <mergeCell ref="P153:Q153"/>
    <mergeCell ref="P154:Q154"/>
    <mergeCell ref="P156:Q156"/>
    <mergeCell ref="P157:Q157"/>
    <mergeCell ref="P149:Q149"/>
    <mergeCell ref="O162:P166"/>
    <mergeCell ref="Q162:S162"/>
    <mergeCell ref="Q163:S163"/>
    <mergeCell ref="Q164:S164"/>
    <mergeCell ref="Q165:S165"/>
    <mergeCell ref="Q166:S166"/>
    <mergeCell ref="C4:R4"/>
    <mergeCell ref="P135:R135"/>
    <mergeCell ref="P95:R95"/>
    <mergeCell ref="P130:R130"/>
    <mergeCell ref="C149:H149"/>
    <mergeCell ref="I149:K149"/>
    <mergeCell ref="N149:O149"/>
    <mergeCell ref="P97:R97"/>
    <mergeCell ref="P93:R93"/>
    <mergeCell ref="R6:R7"/>
    <mergeCell ref="R23:R24"/>
    <mergeCell ref="R32:R33"/>
    <mergeCell ref="O74:P75"/>
    <mergeCell ref="O76:P76"/>
    <mergeCell ref="O77:P77"/>
    <mergeCell ref="O78:P78"/>
    <mergeCell ref="P144:R144"/>
    <mergeCell ref="M141:N141"/>
    <mergeCell ref="P132:R132"/>
    <mergeCell ref="C141:H141"/>
    <mergeCell ref="M124:N124"/>
    <mergeCell ref="P124:R125"/>
    <mergeCell ref="P143:R143"/>
    <mergeCell ref="P129:R129"/>
    <mergeCell ref="C160:H160"/>
    <mergeCell ref="I160:K160"/>
    <mergeCell ref="N160:O160"/>
    <mergeCell ref="Q160:S161"/>
    <mergeCell ref="O34:P35"/>
    <mergeCell ref="O51:P52"/>
    <mergeCell ref="O70:P70"/>
    <mergeCell ref="O71:P71"/>
    <mergeCell ref="M87:N87"/>
    <mergeCell ref="P91:R91"/>
    <mergeCell ref="D147:M147"/>
    <mergeCell ref="D121:M121"/>
    <mergeCell ref="D138:M138"/>
    <mergeCell ref="N109:O110"/>
    <mergeCell ref="N126:O127"/>
    <mergeCell ref="P109:R109"/>
    <mergeCell ref="P98:R98"/>
    <mergeCell ref="P101:R101"/>
    <mergeCell ref="P102:R102"/>
    <mergeCell ref="P133:R133"/>
    <mergeCell ref="P136:R136"/>
    <mergeCell ref="P146:R146"/>
    <mergeCell ref="P131:R131"/>
    <mergeCell ref="P120:R120"/>
    <mergeCell ref="I141:K141"/>
    <mergeCell ref="P137:R137"/>
    <mergeCell ref="P141:R142"/>
    <mergeCell ref="I87:K87"/>
    <mergeCell ref="C49:I49"/>
    <mergeCell ref="J49:L49"/>
    <mergeCell ref="N49:O49"/>
    <mergeCell ref="P87:R88"/>
    <mergeCell ref="L74:M74"/>
    <mergeCell ref="E64:P64"/>
    <mergeCell ref="C87:H87"/>
    <mergeCell ref="R49:R50"/>
    <mergeCell ref="C68:G68"/>
    <mergeCell ref="H68:J68"/>
    <mergeCell ref="C74:G74"/>
    <mergeCell ref="H74:J74"/>
    <mergeCell ref="P128:R128"/>
    <mergeCell ref="P103:R103"/>
    <mergeCell ref="O72:P72"/>
    <mergeCell ref="P96:R96"/>
    <mergeCell ref="P107:R108"/>
    <mergeCell ref="M107:N107"/>
    <mergeCell ref="C6:I6"/>
    <mergeCell ref="J6:L6"/>
    <mergeCell ref="N6:O6"/>
    <mergeCell ref="C23:I23"/>
    <mergeCell ref="J23:L23"/>
    <mergeCell ref="N23:O23"/>
    <mergeCell ref="N89:O90"/>
    <mergeCell ref="O68:P69"/>
    <mergeCell ref="C32:I32"/>
    <mergeCell ref="J32:L32"/>
    <mergeCell ref="N32:O32"/>
    <mergeCell ref="D21:N21"/>
    <mergeCell ref="O8:P9"/>
    <mergeCell ref="O24:P24"/>
    <mergeCell ref="C46:D46"/>
    <mergeCell ref="C64:D64"/>
    <mergeCell ref="L68:M68"/>
    <mergeCell ref="E46:P46"/>
    <mergeCell ref="O25:P29"/>
    <mergeCell ref="C83:P83"/>
    <mergeCell ref="C85:R85"/>
    <mergeCell ref="D104:M104"/>
    <mergeCell ref="P145:R145"/>
    <mergeCell ref="P134:R134"/>
    <mergeCell ref="P99:R99"/>
    <mergeCell ref="P92:R92"/>
    <mergeCell ref="P100:R100"/>
    <mergeCell ref="P94:R94"/>
    <mergeCell ref="P155:Q155"/>
    <mergeCell ref="C2:P2"/>
    <mergeCell ref="P126:R126"/>
    <mergeCell ref="P127:R127"/>
    <mergeCell ref="P115:R115"/>
    <mergeCell ref="P116:R116"/>
    <mergeCell ref="P117:R117"/>
    <mergeCell ref="P118:R118"/>
    <mergeCell ref="P119:R119"/>
    <mergeCell ref="P110:R110"/>
    <mergeCell ref="P111:R111"/>
    <mergeCell ref="P112:R112"/>
    <mergeCell ref="P113:R113"/>
    <mergeCell ref="P114:R114"/>
    <mergeCell ref="I107:K107"/>
    <mergeCell ref="C107:H107"/>
    <mergeCell ref="C124:H124"/>
    <mergeCell ref="I124:K124"/>
  </mergeCells>
  <phoneticPr fontId="23" type="noConversion"/>
  <pageMargins left="0.25" right="0.25" top="0.75" bottom="0.75" header="0.3" footer="0.3"/>
  <pageSetup paperSize="9" scale="68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NPA</vt:lpstr>
      <vt:lpstr>ISSF</vt:lpstr>
      <vt:lpstr>PPC</vt:lpstr>
      <vt:lpstr>ISSF!Print_Area</vt:lpstr>
      <vt:lpstr>NPA!Print_Area</vt:lpstr>
      <vt:lpstr>PPC!Print_Area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2017-10-28T05:50:31Z</cp:lastPrinted>
  <dcterms:created xsi:type="dcterms:W3CDTF">2006-09-16T00:00:00Z</dcterms:created>
  <dcterms:modified xsi:type="dcterms:W3CDTF">2023-03-05T15:41:27Z</dcterms:modified>
</cp:coreProperties>
</file>