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gh\Desktop\Central Gauteng Pistol Association\1-Secretary2017-2023\2023\Champs\7-CGPA\Scores\"/>
    </mc:Choice>
  </mc:AlternateContent>
  <bookViews>
    <workbookView xWindow="0" yWindow="0" windowWidth="4080" windowHeight="7290" activeTab="9"/>
  </bookViews>
  <sheets>
    <sheet name="1500" sheetId="2" r:id="rId1"/>
    <sheet name="600" sheetId="3" r:id="rId2"/>
    <sheet name="SSA_SR" sheetId="4" r:id="rId3"/>
    <sheet name="PPA" sheetId="6" r:id="rId4"/>
    <sheet name="PPB" sheetId="7" r:id="rId5"/>
    <sheet name="Opticals" sheetId="8" r:id="rId6"/>
    <sheet name="Serv A" sheetId="9" r:id="rId7"/>
    <sheet name="Serv B" sheetId="10" r:id="rId8"/>
    <sheet name="Pocket" sheetId="11" r:id="rId9"/>
    <sheet name="PP II" sheetId="21" r:id="rId10"/>
    <sheet name="Carry" sheetId="12" r:id="rId11"/>
    <sheet name="Magnum" sheetId="13" r:id="rId12"/>
    <sheet name="RIFLES" sheetId="14" r:id="rId13"/>
    <sheet name="SP CF L25" sheetId="15" r:id="rId14"/>
    <sheet name="Air Pistol" sheetId="16" r:id="rId15"/>
    <sheet name="FP 50Y" sheetId="17" r:id="rId16"/>
    <sheet name="RFP MRF" sheetId="18" r:id="rId17"/>
    <sheet name="STD Pistol" sheetId="19" r:id="rId18"/>
    <sheet name="Sheet1" sheetId="20" r:id="rId19"/>
  </sheets>
  <definedNames>
    <definedName name="_xlnm._FilterDatabase" localSheetId="0" hidden="1">'1500'!$B$7:$N$9</definedName>
    <definedName name="_xlnm._FilterDatabase" localSheetId="1" hidden="1">'600'!$B$11:$M$18</definedName>
    <definedName name="_xlnm.Print_Area" localSheetId="17">'STD Pistol'!$A$1:$K$21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1" l="1"/>
  <c r="C10" i="21"/>
  <c r="L44" i="15"/>
  <c r="L47" i="15"/>
  <c r="L45" i="15"/>
  <c r="L42" i="15"/>
  <c r="H44" i="15"/>
  <c r="H47" i="15"/>
  <c r="H45" i="15"/>
  <c r="H42" i="15"/>
  <c r="L31" i="15"/>
  <c r="H31" i="15"/>
  <c r="M42" i="16"/>
  <c r="J11" i="19"/>
  <c r="I11" i="19"/>
  <c r="I7" i="19"/>
  <c r="O12" i="7"/>
  <c r="P12" i="7"/>
  <c r="O51" i="11"/>
  <c r="P59" i="11"/>
  <c r="F51" i="11"/>
  <c r="O10" i="12"/>
  <c r="P9" i="12"/>
  <c r="N18" i="13"/>
  <c r="O23" i="13"/>
  <c r="N24" i="13"/>
  <c r="P24" i="13" s="1"/>
  <c r="O24" i="13"/>
  <c r="N8" i="13"/>
  <c r="P8" i="13" s="1"/>
  <c r="O8" i="13"/>
  <c r="N12" i="13"/>
  <c r="O11" i="13"/>
  <c r="O18" i="7"/>
  <c r="P18" i="7"/>
  <c r="F18" i="7"/>
  <c r="O12" i="6"/>
  <c r="P17" i="6"/>
  <c r="M8" i="10"/>
  <c r="O8" i="10" s="1"/>
  <c r="P8" i="10" s="1"/>
  <c r="N8" i="10"/>
  <c r="N30" i="4"/>
  <c r="O32" i="4"/>
  <c r="M12" i="3"/>
  <c r="N12" i="3"/>
  <c r="L15" i="16"/>
  <c r="L35" i="16"/>
  <c r="L12" i="16"/>
  <c r="M43" i="16"/>
  <c r="M44" i="16"/>
  <c r="M45" i="16"/>
  <c r="L33" i="16"/>
  <c r="M33" i="16" s="1"/>
  <c r="O9" i="12"/>
  <c r="P8" i="12"/>
  <c r="O50" i="11"/>
  <c r="P55" i="11"/>
  <c r="F50" i="11"/>
  <c r="P11" i="11"/>
  <c r="O11" i="11"/>
  <c r="O21" i="11"/>
  <c r="P19" i="11"/>
  <c r="O41" i="7"/>
  <c r="P44" i="7"/>
  <c r="O39" i="7"/>
  <c r="P45" i="7"/>
  <c r="L29" i="15"/>
  <c r="H29" i="15"/>
  <c r="N19" i="2"/>
  <c r="O18" i="2"/>
  <c r="N9" i="2"/>
  <c r="O8" i="2"/>
  <c r="L21" i="16"/>
  <c r="O9" i="8"/>
  <c r="P14" i="8"/>
  <c r="N15" i="2"/>
  <c r="O15" i="2"/>
  <c r="N41" i="3"/>
  <c r="M43" i="3"/>
  <c r="N40" i="3"/>
  <c r="M42" i="3"/>
  <c r="M31" i="3"/>
  <c r="N32" i="3"/>
  <c r="N34" i="3"/>
  <c r="M36" i="3"/>
  <c r="M33" i="3"/>
  <c r="O33" i="3" s="1"/>
  <c r="N33" i="3"/>
  <c r="M32" i="3"/>
  <c r="N35" i="3"/>
  <c r="N16" i="2"/>
  <c r="O17" i="2"/>
  <c r="P39" i="6"/>
  <c r="O38" i="6"/>
  <c r="O19" i="4"/>
  <c r="N20" i="4"/>
  <c r="N14" i="4"/>
  <c r="O18" i="4"/>
  <c r="O35" i="7"/>
  <c r="P42" i="7"/>
  <c r="N17" i="2"/>
  <c r="M37" i="9"/>
  <c r="N41" i="9"/>
  <c r="L12" i="18"/>
  <c r="M12" i="18" s="1"/>
  <c r="H12" i="18"/>
  <c r="L13" i="18"/>
  <c r="H13" i="18"/>
  <c r="I15" i="19"/>
  <c r="H21" i="17"/>
  <c r="H22" i="17"/>
  <c r="I22" i="17" s="1"/>
  <c r="J22" i="17" s="1"/>
  <c r="P35" i="4"/>
  <c r="I9" i="19"/>
  <c r="J9" i="19" s="1"/>
  <c r="K9" i="19" s="1"/>
  <c r="M31" i="15" l="1"/>
  <c r="M47" i="15"/>
  <c r="M44" i="15"/>
  <c r="M42" i="15"/>
  <c r="M45" i="15"/>
  <c r="N45" i="16"/>
  <c r="Q8" i="10"/>
  <c r="M29" i="15"/>
  <c r="N29" i="15" s="1"/>
  <c r="N43" i="16"/>
  <c r="N44" i="16"/>
  <c r="P17" i="2"/>
  <c r="O32" i="3"/>
  <c r="M13" i="18"/>
  <c r="M40" i="9"/>
  <c r="N40" i="9"/>
  <c r="M38" i="9"/>
  <c r="N39" i="9"/>
  <c r="M37" i="10"/>
  <c r="N37" i="10"/>
  <c r="M22" i="10"/>
  <c r="N27" i="10"/>
  <c r="F22" i="10"/>
  <c r="N42" i="4"/>
  <c r="P42" i="4" s="1"/>
  <c r="O42" i="4"/>
  <c r="F42" i="4"/>
  <c r="O56" i="11"/>
  <c r="P49" i="11"/>
  <c r="F56" i="11"/>
  <c r="N36" i="3"/>
  <c r="O48" i="12"/>
  <c r="P55" i="12"/>
  <c r="F48" i="12"/>
  <c r="O42" i="6"/>
  <c r="P46" i="6"/>
  <c r="L18" i="15"/>
  <c r="H18" i="15"/>
  <c r="L54" i="16"/>
  <c r="L53" i="16"/>
  <c r="M53" i="16" s="1"/>
  <c r="N53" i="16" s="1"/>
  <c r="L52" i="16"/>
  <c r="M52" i="16" s="1"/>
  <c r="L51" i="16"/>
  <c r="M17" i="3"/>
  <c r="N18" i="3"/>
  <c r="F17" i="3"/>
  <c r="O58" i="11"/>
  <c r="F58" i="11"/>
  <c r="O59" i="11"/>
  <c r="Q59" i="11" s="1"/>
  <c r="P54" i="11"/>
  <c r="F59" i="11"/>
  <c r="M13" i="9"/>
  <c r="N8" i="9"/>
  <c r="M27" i="10"/>
  <c r="O14" i="8"/>
  <c r="P15" i="8"/>
  <c r="M29" i="8"/>
  <c r="N28" i="8"/>
  <c r="N16" i="13"/>
  <c r="O15" i="13"/>
  <c r="N26" i="4"/>
  <c r="N17" i="4"/>
  <c r="O17" i="4"/>
  <c r="M23" i="10"/>
  <c r="F23" i="10"/>
  <c r="M16" i="9"/>
  <c r="F16" i="9"/>
  <c r="M33" i="9"/>
  <c r="N35" i="9"/>
  <c r="O32" i="12"/>
  <c r="F32" i="12"/>
  <c r="B54" i="14"/>
  <c r="M53" i="14"/>
  <c r="L52" i="14"/>
  <c r="M52" i="14"/>
  <c r="L53" i="14"/>
  <c r="B29" i="14"/>
  <c r="O28" i="14"/>
  <c r="N28" i="14"/>
  <c r="N51" i="16" l="1"/>
  <c r="M51" i="16"/>
  <c r="O27" i="10"/>
  <c r="M18" i="15"/>
  <c r="N18" i="15" s="1"/>
  <c r="O25" i="7" l="1"/>
  <c r="F25" i="7"/>
  <c r="O36" i="7"/>
  <c r="P39" i="7"/>
  <c r="O36" i="6"/>
  <c r="P40" i="6"/>
  <c r="O28" i="6"/>
  <c r="P41" i="6"/>
  <c r="H23" i="17"/>
  <c r="L17" i="16"/>
  <c r="L8" i="16"/>
  <c r="M8" i="16" s="1"/>
  <c r="L9" i="15"/>
  <c r="H9" i="15"/>
  <c r="L13" i="15"/>
  <c r="H13" i="15"/>
  <c r="L12" i="15"/>
  <c r="H12" i="15"/>
  <c r="L11" i="18"/>
  <c r="H11" i="18"/>
  <c r="L8" i="18"/>
  <c r="H8" i="18"/>
  <c r="I13" i="19"/>
  <c r="I12" i="19"/>
  <c r="J12" i="19" s="1"/>
  <c r="I10" i="19"/>
  <c r="J10" i="19" s="1"/>
  <c r="L31" i="16"/>
  <c r="M31" i="16" s="1"/>
  <c r="L32" i="16"/>
  <c r="M32" i="16" s="1"/>
  <c r="M41" i="16"/>
  <c r="M40" i="16"/>
  <c r="N42" i="16" s="1"/>
  <c r="L35" i="14"/>
  <c r="M38" i="14"/>
  <c r="N20" i="13"/>
  <c r="O20" i="13"/>
  <c r="N23" i="13"/>
  <c r="P23" i="13" s="1"/>
  <c r="O21" i="13"/>
  <c r="N15" i="13"/>
  <c r="O16" i="13"/>
  <c r="N9" i="13"/>
  <c r="O9" i="13"/>
  <c r="P9" i="13"/>
  <c r="O38" i="12"/>
  <c r="F38" i="12"/>
  <c r="F33" i="12"/>
  <c r="O33" i="12"/>
  <c r="P28" i="12"/>
  <c r="O29" i="12"/>
  <c r="P30" i="12"/>
  <c r="F29" i="12"/>
  <c r="O27" i="12"/>
  <c r="P35" i="12"/>
  <c r="O11" i="12"/>
  <c r="Q11" i="12" s="1"/>
  <c r="P11" i="12"/>
  <c r="O12" i="12"/>
  <c r="Q12" i="12" s="1"/>
  <c r="P12" i="12"/>
  <c r="F34" i="11"/>
  <c r="O34" i="11"/>
  <c r="P43" i="11"/>
  <c r="O33" i="11"/>
  <c r="P26" i="11"/>
  <c r="F33" i="11"/>
  <c r="O26" i="11"/>
  <c r="P24" i="11"/>
  <c r="F26" i="11"/>
  <c r="M36" i="10"/>
  <c r="N32" i="10"/>
  <c r="M38" i="10"/>
  <c r="O37" i="10" s="1"/>
  <c r="N33" i="10"/>
  <c r="M24" i="10"/>
  <c r="O23" i="10" s="1"/>
  <c r="N23" i="10"/>
  <c r="F24" i="10"/>
  <c r="M9" i="10"/>
  <c r="N10" i="10"/>
  <c r="M34" i="9"/>
  <c r="N38" i="9"/>
  <c r="M36" i="9"/>
  <c r="N37" i="9"/>
  <c r="M25" i="9"/>
  <c r="M7" i="9"/>
  <c r="O40" i="7"/>
  <c r="P41" i="7"/>
  <c r="O34" i="7"/>
  <c r="P40" i="7"/>
  <c r="O33" i="7"/>
  <c r="O31" i="7"/>
  <c r="P35" i="7"/>
  <c r="O9" i="7"/>
  <c r="P10" i="7"/>
  <c r="O32" i="6"/>
  <c r="P33" i="6"/>
  <c r="O25" i="6"/>
  <c r="P35" i="6"/>
  <c r="O21" i="6"/>
  <c r="P18" i="6"/>
  <c r="O7" i="6"/>
  <c r="N22" i="4"/>
  <c r="O24" i="4"/>
  <c r="N29" i="4"/>
  <c r="O28" i="4"/>
  <c r="L36" i="14"/>
  <c r="M43" i="14"/>
  <c r="L45" i="14"/>
  <c r="M36" i="14"/>
  <c r="M32" i="10"/>
  <c r="M28" i="10"/>
  <c r="N34" i="10"/>
  <c r="M21" i="10"/>
  <c r="O22" i="10" s="1"/>
  <c r="N22" i="10"/>
  <c r="F21" i="10"/>
  <c r="M23" i="9"/>
  <c r="N27" i="9"/>
  <c r="F23" i="9"/>
  <c r="M27" i="9"/>
  <c r="N29" i="9"/>
  <c r="M19" i="9"/>
  <c r="N16" i="9"/>
  <c r="M24" i="8"/>
  <c r="N26" i="8"/>
  <c r="M23" i="8"/>
  <c r="N24" i="8"/>
  <c r="O40" i="12"/>
  <c r="P43" i="12"/>
  <c r="F40" i="12"/>
  <c r="O25" i="12"/>
  <c r="P45" i="12"/>
  <c r="F25" i="12"/>
  <c r="O19" i="11"/>
  <c r="P18" i="11"/>
  <c r="O18" i="11"/>
  <c r="P20" i="11"/>
  <c r="O15" i="11"/>
  <c r="P21" i="11"/>
  <c r="O49" i="11"/>
  <c r="Q49" i="11" s="1"/>
  <c r="P53" i="11"/>
  <c r="F49" i="11"/>
  <c r="N11" i="14"/>
  <c r="O13" i="14"/>
  <c r="N22" i="14"/>
  <c r="O14" i="14"/>
  <c r="O16" i="7"/>
  <c r="F16" i="7"/>
  <c r="O20" i="7"/>
  <c r="F20" i="7"/>
  <c r="O28" i="7"/>
  <c r="P37" i="7"/>
  <c r="P37" i="6"/>
  <c r="O29" i="7"/>
  <c r="P32" i="7"/>
  <c r="O11" i="8"/>
  <c r="P12" i="8"/>
  <c r="O37" i="6"/>
  <c r="P38" i="6"/>
  <c r="P50" i="11"/>
  <c r="P40" i="11"/>
  <c r="P41" i="11"/>
  <c r="P42" i="11"/>
  <c r="P44" i="11"/>
  <c r="P45" i="11"/>
  <c r="M39" i="10"/>
  <c r="N39" i="10"/>
  <c r="F39" i="10"/>
  <c r="O11" i="7"/>
  <c r="P11" i="7"/>
  <c r="O22" i="6"/>
  <c r="P26" i="6"/>
  <c r="M41" i="9"/>
  <c r="N23" i="9"/>
  <c r="F41" i="9"/>
  <c r="M27" i="8"/>
  <c r="N25" i="8"/>
  <c r="O8" i="8"/>
  <c r="P10" i="8"/>
  <c r="M35" i="9"/>
  <c r="F35" i="9"/>
  <c r="M26" i="9"/>
  <c r="N33" i="9"/>
  <c r="N15" i="4"/>
  <c r="O20" i="4"/>
  <c r="M38" i="3"/>
  <c r="N39" i="3"/>
  <c r="M35" i="3"/>
  <c r="O36" i="3" s="1"/>
  <c r="F35" i="3"/>
  <c r="O13" i="8"/>
  <c r="P11" i="8"/>
  <c r="O15" i="8"/>
  <c r="P13" i="8"/>
  <c r="O51" i="12"/>
  <c r="P42" i="12"/>
  <c r="F51" i="12"/>
  <c r="F52" i="11"/>
  <c r="O52" i="11"/>
  <c r="L41" i="14"/>
  <c r="M37" i="14"/>
  <c r="N23" i="14"/>
  <c r="O11" i="14"/>
  <c r="N13" i="14"/>
  <c r="O18" i="14"/>
  <c r="N10" i="14"/>
  <c r="O15" i="14"/>
  <c r="N18" i="14"/>
  <c r="O17" i="14"/>
  <c r="L46" i="14"/>
  <c r="M42" i="14"/>
  <c r="L38" i="14"/>
  <c r="M41" i="14"/>
  <c r="H10" i="18"/>
  <c r="I7" i="17"/>
  <c r="F39" i="11"/>
  <c r="O39" i="11"/>
  <c r="F35" i="11"/>
  <c r="O35" i="11"/>
  <c r="F36" i="11"/>
  <c r="O36" i="11"/>
  <c r="F43" i="12"/>
  <c r="O43" i="12"/>
  <c r="P57" i="12"/>
  <c r="O20" i="12"/>
  <c r="Q20" i="12" s="1"/>
  <c r="P19" i="12"/>
  <c r="F20" i="12"/>
  <c r="O35" i="9" l="1"/>
  <c r="Q19" i="11"/>
  <c r="S19" i="11"/>
  <c r="O23" i="9"/>
  <c r="O40" i="9"/>
  <c r="M8" i="18"/>
  <c r="M11" i="18"/>
  <c r="M13" i="15"/>
  <c r="N13" i="15" s="1"/>
  <c r="N40" i="16"/>
  <c r="N41" i="16"/>
  <c r="P20" i="13"/>
  <c r="Q18" i="11"/>
  <c r="S18" i="11"/>
  <c r="O33" i="9"/>
  <c r="Q35" i="7"/>
  <c r="P18" i="14"/>
  <c r="N38" i="14"/>
  <c r="Q26" i="11"/>
  <c r="L48" i="15"/>
  <c r="L43" i="15"/>
  <c r="H48" i="15"/>
  <c r="H43" i="15"/>
  <c r="O48" i="15"/>
  <c r="L46" i="15"/>
  <c r="H46" i="15"/>
  <c r="L41" i="15"/>
  <c r="H41" i="15"/>
  <c r="L30" i="16"/>
  <c r="O38" i="11"/>
  <c r="P57" i="11"/>
  <c r="F38" i="11"/>
  <c r="O32" i="11"/>
  <c r="P32" i="11"/>
  <c r="F32" i="11"/>
  <c r="P32" i="12"/>
  <c r="O54" i="12"/>
  <c r="P52" i="12"/>
  <c r="F54" i="12"/>
  <c r="O21" i="12"/>
  <c r="Q21" i="12" s="1"/>
  <c r="P21" i="12"/>
  <c r="F21" i="12"/>
  <c r="O14" i="12"/>
  <c r="Q14" i="12" s="1"/>
  <c r="P14" i="12"/>
  <c r="N25" i="13"/>
  <c r="O22" i="13"/>
  <c r="M40" i="10"/>
  <c r="F40" i="10"/>
  <c r="N13" i="10"/>
  <c r="M16" i="10"/>
  <c r="N16" i="10"/>
  <c r="M17" i="9"/>
  <c r="F17" i="9"/>
  <c r="O24" i="7"/>
  <c r="O22" i="7"/>
  <c r="O43" i="6"/>
  <c r="O18" i="6"/>
  <c r="P19" i="6"/>
  <c r="N10" i="4"/>
  <c r="F10" i="4"/>
  <c r="N43" i="4"/>
  <c r="F43" i="4"/>
  <c r="M18" i="3"/>
  <c r="N17" i="3"/>
  <c r="M15" i="3"/>
  <c r="N16" i="3"/>
  <c r="F15" i="3"/>
  <c r="N37" i="3"/>
  <c r="N31" i="3"/>
  <c r="M8" i="3"/>
  <c r="N8" i="3"/>
  <c r="N10" i="13"/>
  <c r="P10" i="13" s="1"/>
  <c r="O10" i="13"/>
  <c r="N22" i="13"/>
  <c r="N17" i="13"/>
  <c r="O14" i="13"/>
  <c r="L6" i="16"/>
  <c r="N15" i="14"/>
  <c r="P13" i="14" s="1"/>
  <c r="O16" i="14"/>
  <c r="L34" i="14"/>
  <c r="M40" i="14"/>
  <c r="L40" i="14"/>
  <c r="M46" i="14"/>
  <c r="L44" i="14"/>
  <c r="M35" i="14"/>
  <c r="N21" i="14"/>
  <c r="O21" i="14"/>
  <c r="N9" i="14"/>
  <c r="O10" i="14"/>
  <c r="N8" i="14"/>
  <c r="O19" i="14"/>
  <c r="N20" i="14"/>
  <c r="O20" i="14"/>
  <c r="O22" i="14"/>
  <c r="N17" i="14"/>
  <c r="P17" i="14" s="1"/>
  <c r="O6" i="6"/>
  <c r="P7" i="6"/>
  <c r="L37" i="14"/>
  <c r="L43" i="14"/>
  <c r="N43" i="14" s="1"/>
  <c r="O16" i="2"/>
  <c r="O19" i="2"/>
  <c r="N42" i="3"/>
  <c r="N26" i="3"/>
  <c r="O24" i="6"/>
  <c r="M10" i="9"/>
  <c r="N17" i="9"/>
  <c r="F10" i="9"/>
  <c r="M15" i="9"/>
  <c r="N13" i="9"/>
  <c r="O8" i="12"/>
  <c r="P10" i="12"/>
  <c r="M10" i="10"/>
  <c r="O10" i="10" s="1"/>
  <c r="N12" i="10"/>
  <c r="O45" i="7"/>
  <c r="P34" i="7"/>
  <c r="P31" i="7"/>
  <c r="O25" i="4"/>
  <c r="O27" i="4"/>
  <c r="N27" i="4"/>
  <c r="O30" i="4"/>
  <c r="O31" i="4"/>
  <c r="O33" i="4"/>
  <c r="N28" i="4"/>
  <c r="N12" i="4"/>
  <c r="N14" i="3"/>
  <c r="N43" i="3"/>
  <c r="M40" i="3"/>
  <c r="O40" i="3" s="1"/>
  <c r="F40" i="3"/>
  <c r="N38" i="3"/>
  <c r="M37" i="3"/>
  <c r="F37" i="3"/>
  <c r="M29" i="3"/>
  <c r="F29" i="3"/>
  <c r="M39" i="3"/>
  <c r="F39" i="3"/>
  <c r="M14" i="3"/>
  <c r="F14" i="3"/>
  <c r="O30" i="12"/>
  <c r="P31" i="12"/>
  <c r="L16" i="16"/>
  <c r="M16" i="16" s="1"/>
  <c r="L9" i="16"/>
  <c r="P15" i="14" l="1"/>
  <c r="M30" i="16"/>
  <c r="Q45" i="7"/>
  <c r="O17" i="3"/>
  <c r="O18" i="3"/>
  <c r="M46" i="15"/>
  <c r="O43" i="15" s="1"/>
  <c r="M48" i="15"/>
  <c r="M43" i="15"/>
  <c r="M41" i="15"/>
  <c r="Q30" i="12"/>
  <c r="N37" i="14"/>
  <c r="P21" i="14"/>
  <c r="O12" i="11"/>
  <c r="P10" i="11"/>
  <c r="O29" i="4"/>
  <c r="N25" i="4"/>
  <c r="O34" i="4"/>
  <c r="N32" i="4"/>
  <c r="P32" i="4" s="1"/>
  <c r="O23" i="4"/>
  <c r="O9" i="4"/>
  <c r="P6" i="6"/>
  <c r="N25" i="3"/>
  <c r="M24" i="3"/>
  <c r="N28" i="3"/>
  <c r="M10" i="3"/>
  <c r="N18" i="2"/>
  <c r="P18" i="2" s="1"/>
  <c r="N7" i="2"/>
  <c r="P6" i="21"/>
  <c r="P19" i="2" l="1"/>
  <c r="N9" i="3"/>
  <c r="N8" i="2"/>
  <c r="P8" i="2" s="1"/>
  <c r="O26" i="4" l="1"/>
  <c r="N34" i="4"/>
  <c r="P34" i="4" s="1"/>
  <c r="P8" i="21"/>
  <c r="O7" i="21"/>
  <c r="P7" i="21"/>
  <c r="S7" i="21" s="1"/>
  <c r="O6" i="21"/>
  <c r="O8" i="21"/>
  <c r="O8" i="11"/>
  <c r="P9" i="11"/>
  <c r="F54" i="11"/>
  <c r="O54" i="11"/>
  <c r="O9" i="11"/>
  <c r="P47" i="11"/>
  <c r="F9" i="11"/>
  <c r="O27" i="7"/>
  <c r="P25" i="7"/>
  <c r="O26" i="7"/>
  <c r="O8" i="7"/>
  <c r="L8" i="15" l="1"/>
  <c r="H8" i="15"/>
  <c r="H25" i="17"/>
  <c r="I25" i="17" s="1"/>
  <c r="H20" i="17"/>
  <c r="I6" i="17"/>
  <c r="O45" i="12"/>
  <c r="M8" i="15" l="1"/>
  <c r="M34" i="3"/>
  <c r="O34" i="3" s="1"/>
  <c r="O19" i="13"/>
  <c r="P16" i="13"/>
  <c r="N13" i="4"/>
  <c r="P17" i="4" s="1"/>
  <c r="P16" i="11"/>
  <c r="P34" i="11"/>
  <c r="F18" i="3"/>
  <c r="L7" i="15"/>
  <c r="H7" i="15"/>
  <c r="P21" i="6"/>
  <c r="M45" i="14"/>
  <c r="O31" i="3" l="1"/>
  <c r="O35" i="3"/>
  <c r="P17" i="13"/>
  <c r="Q17" i="13" s="1"/>
  <c r="M7" i="15"/>
  <c r="M41" i="3"/>
  <c r="O41" i="3" s="1"/>
  <c r="F41" i="3"/>
  <c r="M27" i="3"/>
  <c r="N27" i="3"/>
  <c r="N8" i="4"/>
  <c r="P25" i="4"/>
  <c r="O22" i="4"/>
  <c r="O39" i="3" l="1"/>
  <c r="O29" i="11"/>
  <c r="P39" i="11"/>
  <c r="F29" i="11"/>
  <c r="I18" i="19"/>
  <c r="M20" i="10"/>
  <c r="F20" i="10"/>
  <c r="O34" i="6"/>
  <c r="O10" i="8"/>
  <c r="P16" i="8"/>
  <c r="P13" i="7"/>
  <c r="M35" i="10"/>
  <c r="L36" i="15"/>
  <c r="H36" i="15"/>
  <c r="M36" i="15" l="1"/>
  <c r="L10" i="16"/>
  <c r="M10" i="16" l="1"/>
  <c r="L9" i="18"/>
  <c r="H9" i="18"/>
  <c r="O12" i="14"/>
  <c r="H24" i="17"/>
  <c r="I24" i="17" s="1"/>
  <c r="O9" i="6"/>
  <c r="F9" i="6"/>
  <c r="M9" i="18" l="1"/>
  <c r="I14" i="17"/>
  <c r="N40" i="10" l="1"/>
  <c r="P43" i="7"/>
  <c r="O46" i="6"/>
  <c r="Q46" i="6" s="1"/>
  <c r="P37" i="12"/>
  <c r="L10" i="15"/>
  <c r="H10" i="15"/>
  <c r="O19" i="6"/>
  <c r="Q18" i="6" s="1"/>
  <c r="P22" i="12"/>
  <c r="O18" i="12"/>
  <c r="Q18" i="12" s="1"/>
  <c r="F18" i="12"/>
  <c r="O58" i="12"/>
  <c r="F58" i="12"/>
  <c r="P58" i="11"/>
  <c r="L10" i="18"/>
  <c r="L7" i="18"/>
  <c r="H7" i="18"/>
  <c r="O49" i="12"/>
  <c r="F49" i="12"/>
  <c r="M28" i="3"/>
  <c r="O28" i="3" s="1"/>
  <c r="F28" i="3"/>
  <c r="O11" i="6"/>
  <c r="F11" i="6"/>
  <c r="O45" i="6"/>
  <c r="O52" i="12"/>
  <c r="F52" i="12"/>
  <c r="P22" i="11"/>
  <c r="N10" i="9"/>
  <c r="N12" i="9"/>
  <c r="M8" i="9"/>
  <c r="O41" i="4"/>
  <c r="P44" i="6"/>
  <c r="O13" i="12"/>
  <c r="P13" i="12"/>
  <c r="F13" i="12"/>
  <c r="O42" i="7"/>
  <c r="Q42" i="7" s="1"/>
  <c r="L18" i="16"/>
  <c r="L24" i="16"/>
  <c r="M46" i="16"/>
  <c r="O55" i="11"/>
  <c r="Q54" i="11" s="1"/>
  <c r="F55" i="11"/>
  <c r="N31" i="9"/>
  <c r="L11" i="16"/>
  <c r="L28" i="15"/>
  <c r="L30" i="15"/>
  <c r="H28" i="15"/>
  <c r="H30" i="15"/>
  <c r="L14" i="15"/>
  <c r="L17" i="15"/>
  <c r="L21" i="15"/>
  <c r="L16" i="15"/>
  <c r="L19" i="15"/>
  <c r="L15" i="15"/>
  <c r="L20" i="15"/>
  <c r="L11" i="15"/>
  <c r="H11" i="15"/>
  <c r="H14" i="15"/>
  <c r="H17" i="15"/>
  <c r="H21" i="15"/>
  <c r="H16" i="15"/>
  <c r="H19" i="15"/>
  <c r="H15" i="15"/>
  <c r="H20" i="15"/>
  <c r="O28" i="12"/>
  <c r="Q28" i="12" s="1"/>
  <c r="F28" i="12"/>
  <c r="O25" i="11"/>
  <c r="F25" i="11"/>
  <c r="I11" i="17"/>
  <c r="I9" i="17"/>
  <c r="I8" i="17"/>
  <c r="I10" i="17"/>
  <c r="I13" i="17"/>
  <c r="I12" i="17"/>
  <c r="I5" i="17"/>
  <c r="L22" i="16"/>
  <c r="I19" i="19"/>
  <c r="I14" i="19"/>
  <c r="J15" i="19" s="1"/>
  <c r="I16" i="19"/>
  <c r="J16" i="19" s="1"/>
  <c r="I17" i="19"/>
  <c r="I8" i="19"/>
  <c r="I6" i="19"/>
  <c r="H30" i="17"/>
  <c r="H29" i="17"/>
  <c r="H28" i="17"/>
  <c r="H27" i="17"/>
  <c r="I27" i="17" s="1"/>
  <c r="J27" i="17" s="1"/>
  <c r="H26" i="17"/>
  <c r="F48" i="16"/>
  <c r="L36" i="16"/>
  <c r="L34" i="16"/>
  <c r="L29" i="16"/>
  <c r="L19" i="16"/>
  <c r="L20" i="16"/>
  <c r="L23" i="16"/>
  <c r="L13" i="16"/>
  <c r="M13" i="16" s="1"/>
  <c r="L14" i="16"/>
  <c r="M14" i="16" s="1"/>
  <c r="L7" i="16"/>
  <c r="B47" i="14"/>
  <c r="N46" i="14"/>
  <c r="M44" i="14"/>
  <c r="L39" i="14"/>
  <c r="M34" i="14"/>
  <c r="L42" i="14"/>
  <c r="N42" i="14" s="1"/>
  <c r="M39" i="14"/>
  <c r="B24" i="14"/>
  <c r="O9" i="14"/>
  <c r="N12" i="14"/>
  <c r="P11" i="14" s="1"/>
  <c r="N16" i="14"/>
  <c r="P16" i="14" s="1"/>
  <c r="O23" i="14"/>
  <c r="N14" i="14"/>
  <c r="P14" i="14" s="1"/>
  <c r="O8" i="14"/>
  <c r="N19" i="14"/>
  <c r="P22" i="14" s="1"/>
  <c r="B27" i="13"/>
  <c r="O26" i="13"/>
  <c r="N19" i="13"/>
  <c r="P19" i="13" s="1"/>
  <c r="Q19" i="13" s="1"/>
  <c r="O25" i="13"/>
  <c r="N21" i="13"/>
  <c r="N26" i="13"/>
  <c r="O18" i="13"/>
  <c r="O17" i="13"/>
  <c r="N14" i="13"/>
  <c r="O13" i="13"/>
  <c r="N13" i="13"/>
  <c r="N11" i="13"/>
  <c r="P11" i="13" s="1"/>
  <c r="O12" i="13"/>
  <c r="B59" i="12"/>
  <c r="P56" i="12"/>
  <c r="O15" i="12"/>
  <c r="F15" i="12"/>
  <c r="O34" i="12"/>
  <c r="F34" i="12"/>
  <c r="O53" i="12"/>
  <c r="F53" i="12"/>
  <c r="P54" i="12"/>
  <c r="O57" i="12"/>
  <c r="F57" i="12"/>
  <c r="O46" i="12"/>
  <c r="Q45" i="12" s="1"/>
  <c r="F46" i="12"/>
  <c r="O47" i="12"/>
  <c r="F47" i="12"/>
  <c r="P53" i="12"/>
  <c r="O56" i="12"/>
  <c r="F56" i="12"/>
  <c r="P36" i="12"/>
  <c r="O39" i="12"/>
  <c r="Q39" i="12" s="1"/>
  <c r="F39" i="12"/>
  <c r="P58" i="12"/>
  <c r="O42" i="12"/>
  <c r="Q42" i="12" s="1"/>
  <c r="F42" i="12"/>
  <c r="P51" i="12"/>
  <c r="P34" i="12"/>
  <c r="O50" i="12"/>
  <c r="F50" i="12"/>
  <c r="P33" i="12"/>
  <c r="S21" i="12"/>
  <c r="P29" i="12"/>
  <c r="O41" i="12"/>
  <c r="F41" i="12"/>
  <c r="P27" i="12"/>
  <c r="P26" i="12"/>
  <c r="P23" i="12"/>
  <c r="P24" i="12"/>
  <c r="O55" i="12"/>
  <c r="F55" i="12"/>
  <c r="P50" i="12"/>
  <c r="P38" i="12"/>
  <c r="P49" i="12"/>
  <c r="O44" i="12"/>
  <c r="F44" i="12"/>
  <c r="P48" i="12"/>
  <c r="P47" i="12"/>
  <c r="F45" i="12"/>
  <c r="O36" i="12"/>
  <c r="F36" i="12"/>
  <c r="P46" i="12"/>
  <c r="P44" i="12"/>
  <c r="O24" i="12"/>
  <c r="F24" i="12"/>
  <c r="P41" i="12"/>
  <c r="O16" i="12"/>
  <c r="F16" i="12"/>
  <c r="P39" i="12"/>
  <c r="P18" i="12"/>
  <c r="O35" i="12"/>
  <c r="F35" i="12"/>
  <c r="P20" i="12"/>
  <c r="O37" i="12"/>
  <c r="F37" i="12"/>
  <c r="O26" i="12"/>
  <c r="F26" i="12"/>
  <c r="O31" i="12"/>
  <c r="F31" i="12"/>
  <c r="O23" i="12"/>
  <c r="Q23" i="12" s="1"/>
  <c r="F23" i="12"/>
  <c r="P40" i="12"/>
  <c r="O22" i="12"/>
  <c r="F22" i="12"/>
  <c r="O17" i="12"/>
  <c r="F17" i="12"/>
  <c r="O19" i="12"/>
  <c r="Q19" i="12" s="1"/>
  <c r="F19" i="12"/>
  <c r="P25" i="12"/>
  <c r="P16" i="12"/>
  <c r="P17" i="12"/>
  <c r="P15" i="12"/>
  <c r="R11" i="12"/>
  <c r="B60" i="11"/>
  <c r="P36" i="11"/>
  <c r="O40" i="11"/>
  <c r="F40" i="11"/>
  <c r="P56" i="11"/>
  <c r="O47" i="11"/>
  <c r="F47" i="11"/>
  <c r="P37" i="11"/>
  <c r="O22" i="11"/>
  <c r="F22" i="11"/>
  <c r="P30" i="11"/>
  <c r="O57" i="11"/>
  <c r="F57" i="11"/>
  <c r="P52" i="11"/>
  <c r="O53" i="11"/>
  <c r="F53" i="11"/>
  <c r="P51" i="11"/>
  <c r="O45" i="11"/>
  <c r="F45" i="11"/>
  <c r="P48" i="11"/>
  <c r="P46" i="11"/>
  <c r="P35" i="11"/>
  <c r="P14" i="11"/>
  <c r="O48" i="11"/>
  <c r="F48" i="11"/>
  <c r="P23" i="11"/>
  <c r="O28" i="11"/>
  <c r="F28" i="11"/>
  <c r="O44" i="11"/>
  <c r="Q35" i="11" s="1"/>
  <c r="R35" i="11" s="1"/>
  <c r="F44" i="11"/>
  <c r="O41" i="11"/>
  <c r="F41" i="11"/>
  <c r="O43" i="11"/>
  <c r="F43" i="11"/>
  <c r="O37" i="11"/>
  <c r="F37" i="11"/>
  <c r="O46" i="11"/>
  <c r="F46" i="11"/>
  <c r="O42" i="11"/>
  <c r="Q41" i="11" s="1"/>
  <c r="F42" i="11"/>
  <c r="P38" i="11"/>
  <c r="O27" i="11"/>
  <c r="F27" i="11"/>
  <c r="O30" i="11"/>
  <c r="F30" i="11"/>
  <c r="P33" i="11"/>
  <c r="O23" i="11"/>
  <c r="F23" i="11"/>
  <c r="O20" i="11"/>
  <c r="F20" i="11"/>
  <c r="O31" i="11"/>
  <c r="F31" i="11"/>
  <c r="P31" i="11"/>
  <c r="P29" i="11"/>
  <c r="F15" i="11"/>
  <c r="P28" i="11"/>
  <c r="P27" i="11"/>
  <c r="O24" i="11"/>
  <c r="Q24" i="11" s="1"/>
  <c r="F24" i="11"/>
  <c r="P12" i="11"/>
  <c r="P25" i="11"/>
  <c r="O7" i="11"/>
  <c r="F7" i="11"/>
  <c r="P17" i="11"/>
  <c r="O14" i="11"/>
  <c r="P15" i="11"/>
  <c r="O17" i="11"/>
  <c r="O16" i="11"/>
  <c r="F16" i="11"/>
  <c r="P13" i="11"/>
  <c r="O10" i="11"/>
  <c r="F10" i="11"/>
  <c r="P8" i="11"/>
  <c r="O13" i="11"/>
  <c r="F13" i="11"/>
  <c r="P7" i="11"/>
  <c r="B41" i="10"/>
  <c r="M19" i="10"/>
  <c r="F19" i="10"/>
  <c r="M29" i="10"/>
  <c r="M15" i="10"/>
  <c r="O39" i="10"/>
  <c r="M34" i="10"/>
  <c r="F34" i="10"/>
  <c r="N38" i="10"/>
  <c r="M33" i="10"/>
  <c r="O32" i="10" s="1"/>
  <c r="F33" i="10"/>
  <c r="N36" i="10"/>
  <c r="M31" i="10"/>
  <c r="F31" i="10"/>
  <c r="N35" i="10"/>
  <c r="N31" i="10"/>
  <c r="N30" i="10"/>
  <c r="M30" i="10"/>
  <c r="F30" i="10"/>
  <c r="N21" i="10"/>
  <c r="O21" i="10"/>
  <c r="F27" i="10"/>
  <c r="N29" i="10"/>
  <c r="N19" i="10"/>
  <c r="N28" i="10"/>
  <c r="M18" i="10"/>
  <c r="F18" i="10"/>
  <c r="M26" i="10"/>
  <c r="F26" i="10"/>
  <c r="M25" i="10"/>
  <c r="F25" i="10"/>
  <c r="M17" i="10"/>
  <c r="F17" i="10"/>
  <c r="M14" i="10"/>
  <c r="F14" i="10"/>
  <c r="N26" i="10"/>
  <c r="N25" i="10"/>
  <c r="N24" i="10"/>
  <c r="N20" i="10"/>
  <c r="N17" i="10"/>
  <c r="N18" i="10"/>
  <c r="M11" i="10"/>
  <c r="F11" i="10"/>
  <c r="N15" i="10"/>
  <c r="N14" i="10"/>
  <c r="O16" i="10"/>
  <c r="N11" i="10"/>
  <c r="M13" i="10"/>
  <c r="O13" i="10" s="1"/>
  <c r="F13" i="10"/>
  <c r="N9" i="10"/>
  <c r="M12" i="10"/>
  <c r="B43" i="9"/>
  <c r="M39" i="9"/>
  <c r="O39" i="9" s="1"/>
  <c r="F39" i="9"/>
  <c r="M42" i="9"/>
  <c r="F42" i="9"/>
  <c r="M29" i="9"/>
  <c r="F29" i="9"/>
  <c r="N42" i="9"/>
  <c r="M32" i="9"/>
  <c r="F32" i="9"/>
  <c r="M24" i="9"/>
  <c r="F24" i="9"/>
  <c r="M31" i="9"/>
  <c r="N36" i="9"/>
  <c r="M30" i="9"/>
  <c r="O37" i="9"/>
  <c r="P37" i="9" s="1"/>
  <c r="N34" i="9"/>
  <c r="M28" i="9"/>
  <c r="O27" i="9" s="1"/>
  <c r="N11" i="9"/>
  <c r="N32" i="9"/>
  <c r="N30" i="9"/>
  <c r="N28" i="9"/>
  <c r="N26" i="9"/>
  <c r="M22" i="9"/>
  <c r="F22" i="9"/>
  <c r="N25" i="9"/>
  <c r="N24" i="9"/>
  <c r="N22" i="9"/>
  <c r="M20" i="9"/>
  <c r="F20" i="9"/>
  <c r="M14" i="9"/>
  <c r="F14" i="9"/>
  <c r="M21" i="9"/>
  <c r="O19" i="9" s="1"/>
  <c r="P19" i="9" s="1"/>
  <c r="F21" i="9"/>
  <c r="N14" i="9"/>
  <c r="M18" i="9"/>
  <c r="F18" i="9"/>
  <c r="N15" i="9"/>
  <c r="N18" i="9"/>
  <c r="N21" i="9"/>
  <c r="N19" i="9"/>
  <c r="Q19" i="9" s="1"/>
  <c r="N20" i="9"/>
  <c r="M12" i="9"/>
  <c r="F12" i="9"/>
  <c r="M11" i="9"/>
  <c r="N9" i="9"/>
  <c r="N7" i="9"/>
  <c r="M9" i="9"/>
  <c r="B30" i="8"/>
  <c r="N29" i="8"/>
  <c r="M26" i="8"/>
  <c r="N27" i="8"/>
  <c r="M22" i="8"/>
  <c r="M28" i="8"/>
  <c r="N23" i="8"/>
  <c r="M25" i="8"/>
  <c r="N22" i="8"/>
  <c r="B17" i="8"/>
  <c r="O12" i="8"/>
  <c r="O16" i="8"/>
  <c r="P9" i="8"/>
  <c r="P8" i="8"/>
  <c r="B46" i="7"/>
  <c r="O44" i="7"/>
  <c r="Q44" i="7" s="1"/>
  <c r="F44" i="7"/>
  <c r="O32" i="7"/>
  <c r="Q32" i="7" s="1"/>
  <c r="F32" i="7"/>
  <c r="O37" i="7"/>
  <c r="F37" i="7"/>
  <c r="O30" i="7"/>
  <c r="Q34" i="7" s="1"/>
  <c r="O38" i="7"/>
  <c r="P9" i="7"/>
  <c r="O14" i="7"/>
  <c r="P38" i="7"/>
  <c r="O43" i="7"/>
  <c r="F43" i="7"/>
  <c r="P36" i="7"/>
  <c r="P33" i="7"/>
  <c r="P30" i="7"/>
  <c r="P29" i="7"/>
  <c r="P28" i="7"/>
  <c r="O19" i="7"/>
  <c r="F19" i="7"/>
  <c r="P27" i="7"/>
  <c r="P26" i="7"/>
  <c r="P21" i="7"/>
  <c r="P17" i="7"/>
  <c r="O23" i="7"/>
  <c r="F23" i="7"/>
  <c r="P22" i="7"/>
  <c r="P19" i="7"/>
  <c r="P20" i="7"/>
  <c r="P24" i="7"/>
  <c r="O21" i="7"/>
  <c r="F21" i="7"/>
  <c r="P23" i="7"/>
  <c r="O17" i="7"/>
  <c r="F17" i="7"/>
  <c r="P14" i="7"/>
  <c r="O10" i="7"/>
  <c r="F10" i="7"/>
  <c r="P15" i="7"/>
  <c r="O15" i="7"/>
  <c r="F15" i="7"/>
  <c r="P16" i="7"/>
  <c r="P8" i="7"/>
  <c r="O13" i="7"/>
  <c r="F13" i="7"/>
  <c r="P7" i="7"/>
  <c r="O7" i="7"/>
  <c r="F7" i="7"/>
  <c r="B48" i="6"/>
  <c r="O47" i="6"/>
  <c r="O13" i="6"/>
  <c r="P34" i="6"/>
  <c r="P32" i="6"/>
  <c r="O33" i="6"/>
  <c r="P12" i="6"/>
  <c r="O20" i="6"/>
  <c r="O44" i="6"/>
  <c r="O27" i="6"/>
  <c r="P31" i="6"/>
  <c r="O39" i="6"/>
  <c r="O26" i="6"/>
  <c r="O31" i="6"/>
  <c r="O40" i="6"/>
  <c r="Q39" i="6" s="1"/>
  <c r="P30" i="6"/>
  <c r="O30" i="6"/>
  <c r="P29" i="6"/>
  <c r="P28" i="6"/>
  <c r="O29" i="6"/>
  <c r="P27" i="6"/>
  <c r="O35" i="6"/>
  <c r="P47" i="6"/>
  <c r="P45" i="6"/>
  <c r="P43" i="6"/>
  <c r="P22" i="6"/>
  <c r="P25" i="6"/>
  <c r="P42" i="6"/>
  <c r="O41" i="6"/>
  <c r="P24" i="6"/>
  <c r="O23" i="6"/>
  <c r="P23" i="6"/>
  <c r="P36" i="6"/>
  <c r="O15" i="6"/>
  <c r="F15" i="6"/>
  <c r="O16" i="6"/>
  <c r="F16" i="6"/>
  <c r="O14" i="6"/>
  <c r="F14" i="6"/>
  <c r="P16" i="6"/>
  <c r="P20" i="6"/>
  <c r="P14" i="6"/>
  <c r="P13" i="6"/>
  <c r="O17" i="6"/>
  <c r="Q17" i="6" s="1"/>
  <c r="P15" i="6"/>
  <c r="O10" i="6"/>
  <c r="F10" i="6"/>
  <c r="P10" i="6"/>
  <c r="P11" i="6"/>
  <c r="P9" i="6"/>
  <c r="O8" i="6"/>
  <c r="F8" i="6"/>
  <c r="P8" i="6"/>
  <c r="B44" i="4"/>
  <c r="O43" i="4"/>
  <c r="N41" i="4"/>
  <c r="F41" i="4"/>
  <c r="B36" i="4"/>
  <c r="N24" i="4"/>
  <c r="P24" i="4" s="1"/>
  <c r="N18" i="4"/>
  <c r="P18" i="4" s="1"/>
  <c r="O35" i="4"/>
  <c r="N33" i="4"/>
  <c r="N23" i="4"/>
  <c r="O12" i="4"/>
  <c r="N21" i="4"/>
  <c r="P20" i="4" s="1"/>
  <c r="F21" i="4"/>
  <c r="N31" i="4"/>
  <c r="P30" i="4" s="1"/>
  <c r="O8" i="4"/>
  <c r="O21" i="4"/>
  <c r="N16" i="4"/>
  <c r="F16" i="4"/>
  <c r="O16" i="4"/>
  <c r="N19" i="4"/>
  <c r="P19" i="4" s="1"/>
  <c r="N11" i="4"/>
  <c r="F11" i="4"/>
  <c r="O15" i="4"/>
  <c r="O13" i="4"/>
  <c r="O14" i="4"/>
  <c r="O11" i="4"/>
  <c r="O10" i="4"/>
  <c r="N9" i="4"/>
  <c r="F9" i="4"/>
  <c r="B44" i="3"/>
  <c r="M30" i="3"/>
  <c r="O30" i="3" s="1"/>
  <c r="P30" i="3" s="1"/>
  <c r="F30" i="3"/>
  <c r="N30" i="3"/>
  <c r="N29" i="3"/>
  <c r="M26" i="3"/>
  <c r="O26" i="3" s="1"/>
  <c r="F26" i="3"/>
  <c r="B19" i="3"/>
  <c r="N11" i="3"/>
  <c r="M11" i="3"/>
  <c r="F11" i="3"/>
  <c r="N15" i="3"/>
  <c r="N13" i="3"/>
  <c r="M16" i="3"/>
  <c r="F16" i="3"/>
  <c r="M13" i="3"/>
  <c r="F13" i="3"/>
  <c r="N10" i="3"/>
  <c r="M9" i="3"/>
  <c r="F9" i="3"/>
  <c r="N24" i="3"/>
  <c r="M25" i="3"/>
  <c r="N7" i="3"/>
  <c r="M7" i="3"/>
  <c r="F7" i="3"/>
  <c r="B20" i="2"/>
  <c r="B10" i="2"/>
  <c r="O9" i="2"/>
  <c r="O7" i="2"/>
  <c r="Q53" i="11" l="1"/>
  <c r="Q40" i="6"/>
  <c r="M9" i="16"/>
  <c r="M11" i="16"/>
  <c r="O15" i="3"/>
  <c r="P15" i="3" s="1"/>
  <c r="O16" i="3"/>
  <c r="P22" i="13"/>
  <c r="P21" i="13"/>
  <c r="M35" i="16"/>
  <c r="N35" i="16" s="1"/>
  <c r="M34" i="16"/>
  <c r="M23" i="16"/>
  <c r="P31" i="4"/>
  <c r="P33" i="4"/>
  <c r="Q21" i="11"/>
  <c r="R21" i="11" s="1"/>
  <c r="S20" i="11"/>
  <c r="Q20" i="11"/>
  <c r="Q33" i="6"/>
  <c r="Q35" i="6"/>
  <c r="O43" i="3"/>
  <c r="O38" i="9"/>
  <c r="O41" i="9"/>
  <c r="O33" i="10"/>
  <c r="O34" i="10"/>
  <c r="P14" i="13"/>
  <c r="P15" i="13"/>
  <c r="Q35" i="12"/>
  <c r="Q46" i="11"/>
  <c r="R46" i="11" s="1"/>
  <c r="Q44" i="11"/>
  <c r="R44" i="11" s="1"/>
  <c r="O20" i="10"/>
  <c r="P20" i="10" s="1"/>
  <c r="O29" i="9"/>
  <c r="O16" i="9"/>
  <c r="O17" i="9"/>
  <c r="O9" i="9"/>
  <c r="P9" i="9" s="1"/>
  <c r="O8" i="9"/>
  <c r="Q40" i="7"/>
  <c r="P26" i="4"/>
  <c r="P29" i="4"/>
  <c r="P23" i="4"/>
  <c r="Q23" i="4" s="1"/>
  <c r="O38" i="3"/>
  <c r="P19" i="14"/>
  <c r="P20" i="14"/>
  <c r="N40" i="14"/>
  <c r="N41" i="14"/>
  <c r="Q37" i="7"/>
  <c r="Q39" i="7"/>
  <c r="Q38" i="6"/>
  <c r="Q41" i="6"/>
  <c r="Q52" i="12"/>
  <c r="R52" i="12" s="1"/>
  <c r="Q43" i="12"/>
  <c r="Q32" i="12"/>
  <c r="R32" i="12" s="1"/>
  <c r="S32" i="12"/>
  <c r="Q47" i="11"/>
  <c r="Q50" i="11"/>
  <c r="Q51" i="11"/>
  <c r="R51" i="11" s="1"/>
  <c r="Q40" i="11"/>
  <c r="Q42" i="11"/>
  <c r="R42" i="11" s="1"/>
  <c r="Q43" i="11"/>
  <c r="Q16" i="11"/>
  <c r="R16" i="11" s="1"/>
  <c r="S16" i="11"/>
  <c r="O19" i="10"/>
  <c r="P19" i="10" s="1"/>
  <c r="O12" i="10"/>
  <c r="O7" i="9"/>
  <c r="P7" i="9" s="1"/>
  <c r="Q41" i="7"/>
  <c r="Q37" i="6"/>
  <c r="Q32" i="6"/>
  <c r="P27" i="4"/>
  <c r="P28" i="4"/>
  <c r="O37" i="3"/>
  <c r="P37" i="3" s="1"/>
  <c r="Q34" i="11"/>
  <c r="R34" i="11" s="1"/>
  <c r="Q45" i="11"/>
  <c r="R45" i="11" s="1"/>
  <c r="S45" i="11"/>
  <c r="O29" i="3"/>
  <c r="P29" i="3" s="1"/>
  <c r="O25" i="3"/>
  <c r="O24" i="3"/>
  <c r="P24" i="3" s="1"/>
  <c r="J14" i="19"/>
  <c r="K14" i="19" s="1"/>
  <c r="I30" i="17"/>
  <c r="J30" i="17" s="1"/>
  <c r="O12" i="9"/>
  <c r="P12" i="9" s="1"/>
  <c r="Q57" i="11"/>
  <c r="Q58" i="11"/>
  <c r="Q48" i="11"/>
  <c r="R48" i="11" s="1"/>
  <c r="Q52" i="11"/>
  <c r="R52" i="11" s="1"/>
  <c r="Q32" i="11"/>
  <c r="Q49" i="12"/>
  <c r="R49" i="12" s="1"/>
  <c r="P26" i="13"/>
  <c r="Q26" i="13" s="1"/>
  <c r="P25" i="13"/>
  <c r="Q25" i="13" s="1"/>
  <c r="P18" i="13"/>
  <c r="Q18" i="13" s="1"/>
  <c r="P12" i="13"/>
  <c r="Q12" i="13" s="1"/>
  <c r="P13" i="13"/>
  <c r="Q13" i="13" s="1"/>
  <c r="O9" i="10"/>
  <c r="P9" i="10" s="1"/>
  <c r="Q19" i="6"/>
  <c r="R19" i="6" s="1"/>
  <c r="S19" i="6"/>
  <c r="M19" i="16"/>
  <c r="N19" i="16" s="1"/>
  <c r="N46" i="16"/>
  <c r="O46" i="16" s="1"/>
  <c r="M21" i="16"/>
  <c r="N21" i="16" s="1"/>
  <c r="M22" i="16"/>
  <c r="N22" i="16" s="1"/>
  <c r="M24" i="16"/>
  <c r="N24" i="16" s="1"/>
  <c r="Q50" i="12"/>
  <c r="R50" i="12" s="1"/>
  <c r="Q51" i="12"/>
  <c r="R51" i="12" s="1"/>
  <c r="Q53" i="12"/>
  <c r="R53" i="12" s="1"/>
  <c r="Q56" i="12"/>
  <c r="R56" i="12" s="1"/>
  <c r="Q54" i="12"/>
  <c r="R54" i="12" s="1"/>
  <c r="S31" i="12"/>
  <c r="Q31" i="12"/>
  <c r="R31" i="12" s="1"/>
  <c r="Q13" i="12"/>
  <c r="R13" i="12" s="1"/>
  <c r="Q17" i="11"/>
  <c r="R17" i="11" s="1"/>
  <c r="S17" i="11"/>
  <c r="O38" i="10"/>
  <c r="P38" i="10" s="1"/>
  <c r="O17" i="10"/>
  <c r="P17" i="10" s="1"/>
  <c r="O11" i="10"/>
  <c r="P11" i="10" s="1"/>
  <c r="O24" i="9"/>
  <c r="P24" i="9" s="1"/>
  <c r="O10" i="9"/>
  <c r="P10" i="9" s="1"/>
  <c r="O13" i="9"/>
  <c r="O11" i="9"/>
  <c r="P11" i="9" s="1"/>
  <c r="Q31" i="7"/>
  <c r="R31" i="7" s="1"/>
  <c r="S31" i="7"/>
  <c r="Q28" i="7"/>
  <c r="R28" i="7" s="1"/>
  <c r="Q25" i="7"/>
  <c r="Q16" i="7"/>
  <c r="R16" i="7" s="1"/>
  <c r="S13" i="7"/>
  <c r="Q26" i="6"/>
  <c r="Q30" i="6"/>
  <c r="P21" i="4"/>
  <c r="Q21" i="4" s="1"/>
  <c r="P11" i="4"/>
  <c r="Q11" i="4" s="1"/>
  <c r="P16" i="4"/>
  <c r="Q16" i="4" s="1"/>
  <c r="Q45" i="6"/>
  <c r="R45" i="6" s="1"/>
  <c r="N39" i="14"/>
  <c r="N44" i="14"/>
  <c r="O44" i="14" s="1"/>
  <c r="P14" i="4"/>
  <c r="Q14" i="4" s="1"/>
  <c r="O42" i="3"/>
  <c r="O14" i="3"/>
  <c r="P11" i="3"/>
  <c r="J17" i="19"/>
  <c r="K17" i="19" s="1"/>
  <c r="Q38" i="10"/>
  <c r="O13" i="3"/>
  <c r="P13" i="3" s="1"/>
  <c r="Q41" i="12"/>
  <c r="R41" i="12" s="1"/>
  <c r="Q40" i="12"/>
  <c r="R40" i="12" s="1"/>
  <c r="R20" i="12"/>
  <c r="Q47" i="12"/>
  <c r="R47" i="12" s="1"/>
  <c r="Q56" i="11"/>
  <c r="Q24" i="9"/>
  <c r="R24" i="6"/>
  <c r="Q29" i="6"/>
  <c r="Q21" i="6"/>
  <c r="Q47" i="6"/>
  <c r="I26" i="17"/>
  <c r="J26" i="17" s="1"/>
  <c r="Q19" i="7"/>
  <c r="R19" i="7" s="1"/>
  <c r="S28" i="7"/>
  <c r="S9" i="7"/>
  <c r="Q43" i="6"/>
  <c r="R43" i="6" s="1"/>
  <c r="Q27" i="3"/>
  <c r="O27" i="3"/>
  <c r="P27" i="3" s="1"/>
  <c r="P13" i="4"/>
  <c r="Q13" i="4" s="1"/>
  <c r="P15" i="4"/>
  <c r="Q15" i="4" s="1"/>
  <c r="P22" i="4"/>
  <c r="Q22" i="4" s="1"/>
  <c r="Q14" i="11"/>
  <c r="Q44" i="12"/>
  <c r="R44" i="12" s="1"/>
  <c r="R18" i="12"/>
  <c r="Q46" i="12"/>
  <c r="R46" i="12" s="1"/>
  <c r="Q48" i="12"/>
  <c r="R48" i="12" s="1"/>
  <c r="R39" i="12"/>
  <c r="Q20" i="10"/>
  <c r="Q8" i="6"/>
  <c r="R22" i="6"/>
  <c r="R23" i="6"/>
  <c r="Q28" i="6"/>
  <c r="Q31" i="6"/>
  <c r="Q42" i="6"/>
  <c r="R42" i="6" s="1"/>
  <c r="Q36" i="6"/>
  <c r="Q44" i="6"/>
  <c r="R44" i="6" s="1"/>
  <c r="Q34" i="6"/>
  <c r="Q27" i="6"/>
  <c r="Q12" i="6"/>
  <c r="R12" i="6" s="1"/>
  <c r="I29" i="17"/>
  <c r="J29" i="17" s="1"/>
  <c r="I28" i="17"/>
  <c r="J28" i="17" s="1"/>
  <c r="I23" i="17"/>
  <c r="J23" i="17" s="1"/>
  <c r="J19" i="19"/>
  <c r="K19" i="19" s="1"/>
  <c r="J13" i="19"/>
  <c r="K13" i="19" s="1"/>
  <c r="J18" i="19"/>
  <c r="K18" i="19" s="1"/>
  <c r="P10" i="3"/>
  <c r="P41" i="4"/>
  <c r="Q41" i="4" s="1"/>
  <c r="R41" i="4"/>
  <c r="R43" i="4"/>
  <c r="P43" i="4"/>
  <c r="Q43" i="4" s="1"/>
  <c r="Q16" i="6"/>
  <c r="R16" i="6" s="1"/>
  <c r="S16" i="6"/>
  <c r="Q14" i="6"/>
  <c r="R14" i="6" s="1"/>
  <c r="S14" i="6"/>
  <c r="Q20" i="6"/>
  <c r="R20" i="6" s="1"/>
  <c r="S20" i="6"/>
  <c r="Q15" i="6"/>
  <c r="R15" i="6" s="1"/>
  <c r="S15" i="6"/>
  <c r="S13" i="6"/>
  <c r="Q13" i="6"/>
  <c r="R13" i="6" s="1"/>
  <c r="Q27" i="7"/>
  <c r="R27" i="7" s="1"/>
  <c r="S27" i="7"/>
  <c r="Q30" i="7"/>
  <c r="R30" i="7" s="1"/>
  <c r="S30" i="7"/>
  <c r="S23" i="7"/>
  <c r="Q23" i="7"/>
  <c r="R23" i="7" s="1"/>
  <c r="S43" i="7"/>
  <c r="Q43" i="7"/>
  <c r="R43" i="7" s="1"/>
  <c r="Q38" i="7"/>
  <c r="R38" i="7" s="1"/>
  <c r="S38" i="7"/>
  <c r="S33" i="7"/>
  <c r="Q33" i="7"/>
  <c r="R33" i="7" s="1"/>
  <c r="S8" i="7"/>
  <c r="S29" i="7"/>
  <c r="Q29" i="7"/>
  <c r="R29" i="7" s="1"/>
  <c r="S21" i="7"/>
  <c r="Q21" i="7"/>
  <c r="R21" i="7" s="1"/>
  <c r="Q22" i="7"/>
  <c r="R22" i="7" s="1"/>
  <c r="S22" i="7"/>
  <c r="S26" i="7"/>
  <c r="Q26" i="7"/>
  <c r="R26" i="7" s="1"/>
  <c r="Q36" i="7"/>
  <c r="R36" i="7" s="1"/>
  <c r="S36" i="7"/>
  <c r="S17" i="7"/>
  <c r="Q17" i="7"/>
  <c r="R17" i="7" s="1"/>
  <c r="Q20" i="7"/>
  <c r="R20" i="7" s="1"/>
  <c r="S20" i="7"/>
  <c r="Q24" i="7"/>
  <c r="R24" i="7" s="1"/>
  <c r="S24" i="7"/>
  <c r="Q32" i="9"/>
  <c r="O32" i="9"/>
  <c r="P32" i="9" s="1"/>
  <c r="O31" i="9"/>
  <c r="P31" i="9" s="1"/>
  <c r="Q31" i="9"/>
  <c r="Q22" i="9"/>
  <c r="O22" i="9"/>
  <c r="P22" i="9" s="1"/>
  <c r="O26" i="9"/>
  <c r="P26" i="9" s="1"/>
  <c r="Q26" i="9"/>
  <c r="O30" i="9"/>
  <c r="P30" i="9" s="1"/>
  <c r="Q30" i="9"/>
  <c r="Q36" i="9"/>
  <c r="O36" i="9"/>
  <c r="P36" i="9" s="1"/>
  <c r="O28" i="9"/>
  <c r="P28" i="9" s="1"/>
  <c r="Q28" i="9"/>
  <c r="O34" i="9"/>
  <c r="P34" i="9" s="1"/>
  <c r="Q34" i="9"/>
  <c r="Q25" i="9"/>
  <c r="O25" i="9"/>
  <c r="P25" i="9" s="1"/>
  <c r="O42" i="9"/>
  <c r="P42" i="9" s="1"/>
  <c r="Q42" i="9"/>
  <c r="Q21" i="9"/>
  <c r="O21" i="9"/>
  <c r="P21" i="9" s="1"/>
  <c r="Q18" i="9"/>
  <c r="O18" i="9"/>
  <c r="P18" i="9" s="1"/>
  <c r="Q15" i="9"/>
  <c r="O15" i="9"/>
  <c r="P15" i="9" s="1"/>
  <c r="O20" i="9"/>
  <c r="P20" i="9" s="1"/>
  <c r="Q20" i="9"/>
  <c r="O14" i="9"/>
  <c r="P14" i="9" s="1"/>
  <c r="Q14" i="9"/>
  <c r="O28" i="10"/>
  <c r="P28" i="10" s="1"/>
  <c r="Q28" i="10"/>
  <c r="Q36" i="10"/>
  <c r="O36" i="10"/>
  <c r="P36" i="10" s="1"/>
  <c r="Q19" i="10"/>
  <c r="Q21" i="10"/>
  <c r="P21" i="10"/>
  <c r="O35" i="10"/>
  <c r="P35" i="10" s="1"/>
  <c r="Q35" i="10"/>
  <c r="O31" i="10"/>
  <c r="P31" i="10" s="1"/>
  <c r="Q31" i="10"/>
  <c r="O29" i="10"/>
  <c r="P29" i="10" s="1"/>
  <c r="Q29" i="10"/>
  <c r="O40" i="10"/>
  <c r="P40" i="10" s="1"/>
  <c r="Q40" i="10"/>
  <c r="O30" i="10"/>
  <c r="P30" i="10" s="1"/>
  <c r="Q30" i="10"/>
  <c r="Q26" i="10"/>
  <c r="O26" i="10"/>
  <c r="P26" i="10" s="1"/>
  <c r="Q25" i="10"/>
  <c r="O25" i="10"/>
  <c r="P25" i="10" s="1"/>
  <c r="Q24" i="10"/>
  <c r="O24" i="10"/>
  <c r="P24" i="10" s="1"/>
  <c r="O18" i="10"/>
  <c r="P18" i="10" s="1"/>
  <c r="Q18" i="10"/>
  <c r="O15" i="10"/>
  <c r="P15" i="10" s="1"/>
  <c r="Q15" i="10"/>
  <c r="O14" i="10"/>
  <c r="P14" i="10" s="1"/>
  <c r="Q14" i="10"/>
  <c r="S34" i="11"/>
  <c r="S39" i="11"/>
  <c r="Q39" i="11"/>
  <c r="R39" i="11" s="1"/>
  <c r="S37" i="11"/>
  <c r="Q37" i="11"/>
  <c r="R37" i="11" s="1"/>
  <c r="R41" i="11"/>
  <c r="S41" i="11"/>
  <c r="Q38" i="11"/>
  <c r="R38" i="11" s="1"/>
  <c r="S38" i="11"/>
  <c r="Q36" i="11"/>
  <c r="R36" i="11" s="1"/>
  <c r="S36" i="11"/>
  <c r="S42" i="11"/>
  <c r="Q27" i="11"/>
  <c r="R27" i="11" s="1"/>
  <c r="S27" i="11"/>
  <c r="S21" i="11"/>
  <c r="S28" i="11"/>
  <c r="Q28" i="11"/>
  <c r="R28" i="11" s="1"/>
  <c r="Q30" i="11"/>
  <c r="R30" i="11" s="1"/>
  <c r="S30" i="11"/>
  <c r="S25" i="11"/>
  <c r="Q25" i="11"/>
  <c r="R25" i="11" s="1"/>
  <c r="Q23" i="11"/>
  <c r="R23" i="11" s="1"/>
  <c r="S23" i="11"/>
  <c r="Q29" i="11"/>
  <c r="R29" i="11" s="1"/>
  <c r="S29" i="11"/>
  <c r="S33" i="11"/>
  <c r="Q33" i="11"/>
  <c r="R33" i="11" s="1"/>
  <c r="Q31" i="11"/>
  <c r="R31" i="11" s="1"/>
  <c r="S31" i="11"/>
  <c r="Q15" i="11"/>
  <c r="R15" i="11" s="1"/>
  <c r="S15" i="11"/>
  <c r="R23" i="12"/>
  <c r="S23" i="12"/>
  <c r="Q37" i="12"/>
  <c r="R37" i="12" s="1"/>
  <c r="S37" i="12"/>
  <c r="Q15" i="12"/>
  <c r="R15" i="12" s="1"/>
  <c r="S15" i="12"/>
  <c r="Q38" i="12"/>
  <c r="R38" i="12" s="1"/>
  <c r="S38" i="12"/>
  <c r="Q22" i="12"/>
  <c r="R22" i="12" s="1"/>
  <c r="S22" i="12"/>
  <c r="Q16" i="12"/>
  <c r="R16" i="12" s="1"/>
  <c r="S16" i="12"/>
  <c r="Q26" i="12"/>
  <c r="R26" i="12" s="1"/>
  <c r="S26" i="12"/>
  <c r="S24" i="12"/>
  <c r="Q24" i="12"/>
  <c r="R24" i="12" s="1"/>
  <c r="S36" i="12"/>
  <c r="Q36" i="12"/>
  <c r="R36" i="12" s="1"/>
  <c r="Q25" i="12"/>
  <c r="R25" i="12" s="1"/>
  <c r="S25" i="12"/>
  <c r="Q27" i="12"/>
  <c r="R27" i="12" s="1"/>
  <c r="S27" i="12"/>
  <c r="Q17" i="12"/>
  <c r="R17" i="12" s="1"/>
  <c r="S17" i="12"/>
  <c r="Q29" i="12"/>
  <c r="R29" i="12" s="1"/>
  <c r="S29" i="12"/>
  <c r="S33" i="12"/>
  <c r="Q33" i="12"/>
  <c r="R33" i="12" s="1"/>
  <c r="S34" i="12"/>
  <c r="Q34" i="12"/>
  <c r="R34" i="12" s="1"/>
  <c r="Q22" i="11"/>
  <c r="R22" i="11" s="1"/>
  <c r="S22" i="11"/>
  <c r="R12" i="4"/>
  <c r="R35" i="4"/>
  <c r="Q35" i="4"/>
  <c r="M12" i="16"/>
  <c r="N12" i="16" s="1"/>
  <c r="Q11" i="10"/>
  <c r="P12" i="14"/>
  <c r="P45" i="14"/>
  <c r="R23" i="14"/>
  <c r="S48" i="11"/>
  <c r="S7" i="11"/>
  <c r="P34" i="14"/>
  <c r="M9" i="15"/>
  <c r="M10" i="15"/>
  <c r="M17" i="16"/>
  <c r="S7" i="7"/>
  <c r="Q10" i="6"/>
  <c r="P7" i="2"/>
  <c r="P9" i="2"/>
  <c r="Q9" i="2" s="1"/>
  <c r="R14" i="4"/>
  <c r="R13" i="4"/>
  <c r="R11" i="4"/>
  <c r="Q9" i="9"/>
  <c r="M21" i="15"/>
  <c r="Q24" i="3"/>
  <c r="S20" i="12"/>
  <c r="Q58" i="12"/>
  <c r="M28" i="15"/>
  <c r="M11" i="15"/>
  <c r="M19" i="15"/>
  <c r="M30" i="15"/>
  <c r="M15" i="15"/>
  <c r="M16" i="15"/>
  <c r="M20" i="15"/>
  <c r="M14" i="15"/>
  <c r="M17" i="15"/>
  <c r="J8" i="19"/>
  <c r="K8" i="19" s="1"/>
  <c r="M29" i="16"/>
  <c r="N29" i="16" s="1"/>
  <c r="M18" i="16"/>
  <c r="N18" i="16" s="1"/>
  <c r="M20" i="16"/>
  <c r="N20" i="16" s="1"/>
  <c r="M15" i="16"/>
  <c r="N15" i="16" s="1"/>
  <c r="Q7" i="9"/>
  <c r="S8" i="11"/>
  <c r="M12" i="15"/>
  <c r="S15" i="7"/>
  <c r="S13" i="11"/>
  <c r="Q10" i="3"/>
  <c r="Q9" i="10"/>
  <c r="R21" i="4"/>
  <c r="Q9" i="6"/>
  <c r="S23" i="6"/>
  <c r="S45" i="6"/>
  <c r="S46" i="11"/>
  <c r="S42" i="6"/>
  <c r="S44" i="6"/>
  <c r="Q11" i="6"/>
  <c r="R11" i="6" s="1"/>
  <c r="S10" i="6"/>
  <c r="S8" i="6"/>
  <c r="N45" i="14"/>
  <c r="O45" i="14" s="1"/>
  <c r="P44" i="14"/>
  <c r="P39" i="14"/>
  <c r="P23" i="14"/>
  <c r="Q23" i="14" s="1"/>
  <c r="S12" i="11"/>
  <c r="S35" i="11"/>
  <c r="S44" i="11"/>
  <c r="S51" i="11"/>
  <c r="S52" i="11"/>
  <c r="Q17" i="10"/>
  <c r="S19" i="7"/>
  <c r="S12" i="6"/>
  <c r="S22" i="6"/>
  <c r="S11" i="6"/>
  <c r="S24" i="6"/>
  <c r="S43" i="6"/>
  <c r="R8" i="4"/>
  <c r="R15" i="4"/>
  <c r="Q15" i="3"/>
  <c r="R9" i="2"/>
  <c r="M7" i="18"/>
  <c r="M10" i="18"/>
  <c r="N31" i="15" l="1"/>
  <c r="O31" i="15" s="1"/>
  <c r="N30" i="15"/>
  <c r="N15" i="15"/>
  <c r="N14" i="15"/>
  <c r="N16" i="15"/>
  <c r="O16" i="15" s="1"/>
  <c r="N19" i="15"/>
  <c r="O19" i="15" s="1"/>
  <c r="N20" i="15"/>
  <c r="O20" i="15" s="1"/>
  <c r="N17" i="15"/>
  <c r="O17" i="15" s="1"/>
  <c r="N21" i="15"/>
  <c r="O21" i="15" s="1"/>
  <c r="N9" i="15"/>
  <c r="O9" i="15" s="1"/>
  <c r="N10" i="15"/>
  <c r="N11" i="15"/>
  <c r="N12" i="15"/>
</calcChain>
</file>

<file path=xl/sharedStrings.xml><?xml version="1.0" encoding="utf-8"?>
<sst xmlns="http://schemas.openxmlformats.org/spreadsheetml/2006/main" count="2422" uniqueCount="301">
  <si>
    <t>SSA</t>
  </si>
  <si>
    <t>Carry Gun</t>
  </si>
  <si>
    <t>GNPA</t>
  </si>
  <si>
    <t>M</t>
  </si>
  <si>
    <t>G</t>
  </si>
  <si>
    <t>B</t>
  </si>
  <si>
    <t>S</t>
  </si>
  <si>
    <t>SANDF</t>
  </si>
  <si>
    <t>SAPS</t>
  </si>
  <si>
    <t>O</t>
  </si>
  <si>
    <t>WCPF</t>
  </si>
  <si>
    <t>KZNPA</t>
  </si>
  <si>
    <t>CGPA</t>
  </si>
  <si>
    <t>HM</t>
  </si>
  <si>
    <t>SB</t>
  </si>
  <si>
    <t>NPA EVENT RESULTS</t>
  </si>
  <si>
    <t>1500 Revolver</t>
  </si>
  <si>
    <t>SAPA No</t>
  </si>
  <si>
    <t>Name</t>
  </si>
  <si>
    <t>Prov.</t>
  </si>
  <si>
    <t>Graded</t>
  </si>
  <si>
    <t>X</t>
  </si>
  <si>
    <t>Total</t>
  </si>
  <si>
    <t>HIT</t>
  </si>
  <si>
    <t>Upgraded</t>
  </si>
  <si>
    <t>New Grading</t>
  </si>
  <si>
    <t>WARNING!</t>
  </si>
  <si>
    <t>WAR</t>
  </si>
  <si>
    <t xml:space="preserve">Shafaath Gilbert </t>
  </si>
  <si>
    <t xml:space="preserve">Mohyedien Begg </t>
  </si>
  <si>
    <t xml:space="preserve">Ghalied Allie </t>
  </si>
  <si>
    <t xml:space="preserve">Yusuf Cupido </t>
  </si>
  <si>
    <t>Brendan Muller</t>
  </si>
  <si>
    <t>Lee Pottier</t>
  </si>
  <si>
    <t>GRADINGS</t>
  </si>
  <si>
    <t>BRONZE &lt;1290, SILVER &lt;1380, GOLD&lt;1440, MASTER &lt;1476, HI-MASTER OVER 1475</t>
  </si>
  <si>
    <t>WA 1500 Pistol</t>
  </si>
  <si>
    <t>WAP</t>
  </si>
  <si>
    <t>Bruce Nothling</t>
  </si>
  <si>
    <t xml:space="preserve">Elsje Swart </t>
  </si>
  <si>
    <t>Andre Goldschagg</t>
  </si>
  <si>
    <t>600 MATCH - REVOLVER</t>
  </si>
  <si>
    <t>Hits</t>
  </si>
  <si>
    <t>600R</t>
  </si>
  <si>
    <t>Robert King</t>
  </si>
  <si>
    <t xml:space="preserve">Peter J Smith </t>
  </si>
  <si>
    <t>Stewart Palmer</t>
  </si>
  <si>
    <t>Charles Watts</t>
  </si>
  <si>
    <t>Sean Meyers</t>
  </si>
  <si>
    <t>Nabeel Francis</t>
  </si>
  <si>
    <t>Mahomed Kajee</t>
  </si>
  <si>
    <t>BRONZE&lt;510, SILVER &lt;550,  GOLD&lt;575,  MASTER &lt;590, HI-MASTER OVER 589</t>
  </si>
  <si>
    <t>600 MATCH - PISTOL</t>
  </si>
  <si>
    <t>600p</t>
  </si>
  <si>
    <t>DF van Tonder</t>
  </si>
  <si>
    <t>Karel Schutte</t>
  </si>
  <si>
    <t>SM Mpuru</t>
  </si>
  <si>
    <t>FS van Tonder</t>
  </si>
  <si>
    <t xml:space="preserve">Puven Govender </t>
  </si>
  <si>
    <t>Stock Semi Auto (Standard Gun)</t>
  </si>
  <si>
    <t>TP Van Der Merwe</t>
  </si>
  <si>
    <t>SGSSA</t>
  </si>
  <si>
    <t>Elsje Swart</t>
  </si>
  <si>
    <t>James Markgraaff</t>
  </si>
  <si>
    <t>HJ Koen</t>
  </si>
  <si>
    <t>BRONZE &lt;413, SILVER &lt;442, GOLD&lt;461, MASTER &lt;472, HI-MASTER OVER 471</t>
  </si>
  <si>
    <t>Standard (Service) Revolver</t>
  </si>
  <si>
    <t>SSR</t>
  </si>
  <si>
    <t>Police Pistol A</t>
  </si>
  <si>
    <t>Ppa</t>
  </si>
  <si>
    <t>Teeps van der Merwe</t>
  </si>
  <si>
    <t>Waleed Dawood</t>
  </si>
  <si>
    <t xml:space="preserve">JCA Smit </t>
  </si>
  <si>
    <t>Keith Evans</t>
  </si>
  <si>
    <t>JJ Markgraaff</t>
  </si>
  <si>
    <t>Slade Evans</t>
  </si>
  <si>
    <t>R Stallenberg</t>
  </si>
  <si>
    <t>Tara Evans</t>
  </si>
  <si>
    <t>GRADINGS:</t>
  </si>
  <si>
    <t>BRONZE &lt;280, SILVER &lt;290, GOLD&lt;294, MASTER &lt;297, HI-MASTER OVER 296</t>
  </si>
  <si>
    <t>Police Pistol B</t>
  </si>
  <si>
    <t>PPb</t>
  </si>
  <si>
    <t>Anthony Grobler</t>
  </si>
  <si>
    <t>JCA Smit</t>
  </si>
  <si>
    <t>JCH Smit</t>
  </si>
  <si>
    <t>Police Pistol OPTICAL</t>
  </si>
  <si>
    <t>PPop</t>
  </si>
  <si>
    <t>Kieth Evans</t>
  </si>
  <si>
    <t>Service Pistol OPTICAL</t>
  </si>
  <si>
    <t>HITS</t>
  </si>
  <si>
    <t>SPop</t>
  </si>
  <si>
    <t>BRONZE &lt;85,  SILVER &lt;103, GOLD&lt;110, MASTER &lt;115, HI-MASTER OVER 114</t>
  </si>
  <si>
    <t>Service Pistol A</t>
  </si>
  <si>
    <t>SPa</t>
  </si>
  <si>
    <t>Service Pistol B</t>
  </si>
  <si>
    <t>SPb</t>
  </si>
  <si>
    <t xml:space="preserve">TP Van Der Merwe </t>
  </si>
  <si>
    <t>Pocket Pistol</t>
  </si>
  <si>
    <t>Poc</t>
  </si>
  <si>
    <t>BRONZE &lt;271, SILVER &lt;285, GOLD&lt;295, MASTER &lt;298, HI-MASTER OVER 297</t>
  </si>
  <si>
    <t xml:space="preserve"> </t>
  </si>
  <si>
    <t>CG</t>
  </si>
  <si>
    <t>H Koen</t>
  </si>
  <si>
    <t>SUPER MAGNUM</t>
  </si>
  <si>
    <t>Mag</t>
  </si>
  <si>
    <t xml:space="preserve">S </t>
  </si>
  <si>
    <t>Police Rifle - Centrefire</t>
  </si>
  <si>
    <t>PRcf</t>
  </si>
  <si>
    <t xml:space="preserve">Tara Evans </t>
  </si>
  <si>
    <t>Service Rifle - Centerfire</t>
  </si>
  <si>
    <t>SRcf</t>
  </si>
  <si>
    <t>MENS SPORT PISTOL</t>
  </si>
  <si>
    <t>Grade</t>
  </si>
  <si>
    <t>T 1</t>
  </si>
  <si>
    <t>T 2</t>
  </si>
  <si>
    <t>T3</t>
  </si>
  <si>
    <t>SUB-TOTAL</t>
  </si>
  <si>
    <t>D1</t>
  </si>
  <si>
    <t>D2</t>
  </si>
  <si>
    <t>D3</t>
  </si>
  <si>
    <t>UPGRADE</t>
  </si>
  <si>
    <t>NEW GRADING</t>
  </si>
  <si>
    <t>M de Beer</t>
  </si>
  <si>
    <t>N Arnesen</t>
  </si>
  <si>
    <t>C van der Merwe</t>
  </si>
  <si>
    <t>V Janse van Rensburg</t>
  </si>
  <si>
    <t>B Porter</t>
  </si>
  <si>
    <t>BRONZE up to 509,   SILVER &lt; 530,  GOLD &lt;564, MASTER over 564</t>
  </si>
  <si>
    <t>EE Swart</t>
  </si>
  <si>
    <t>T 3</t>
  </si>
  <si>
    <t>T 4</t>
  </si>
  <si>
    <t>T 5</t>
  </si>
  <si>
    <t>T 6</t>
  </si>
  <si>
    <t>Michael Ian Halley</t>
  </si>
  <si>
    <t>BRONZE &lt;499,   SILVER &lt; 530,  GOLD &lt;560, MASTER over 560</t>
  </si>
  <si>
    <t>GM</t>
  </si>
  <si>
    <t xml:space="preserve"> AIR  PISTOL  -  JUNIOR  OPEN</t>
  </si>
  <si>
    <t>Cat.</t>
  </si>
  <si>
    <t>BRONZE &lt;489,   SILVER &lt; 510,  GOLD &lt;530, MASTER over 530</t>
  </si>
  <si>
    <t xml:space="preserve">GRADINGS: </t>
  </si>
  <si>
    <t>OPEN CLASS</t>
  </si>
  <si>
    <t>T1</t>
  </si>
  <si>
    <t>T2</t>
  </si>
  <si>
    <t>New GRADING</t>
  </si>
  <si>
    <t>Bronze up to 239, SILVER &lt;260, Gold&lt;279, MASTER over 279</t>
  </si>
  <si>
    <t>T-8</t>
  </si>
  <si>
    <t>T-6</t>
  </si>
  <si>
    <t>T-4</t>
  </si>
  <si>
    <t>Sub-Total</t>
  </si>
  <si>
    <t>Colin Strecker</t>
  </si>
  <si>
    <t>T-150</t>
  </si>
  <si>
    <t>T-20</t>
  </si>
  <si>
    <t>T-10</t>
  </si>
  <si>
    <t>JCH Smith</t>
  </si>
  <si>
    <t>BRONZE  up to 489,   SILVER &lt; 520,  GOLD &lt;550, MASTER over 549</t>
  </si>
  <si>
    <t>PPC/ NPA EVENT RESULTS</t>
  </si>
  <si>
    <t>PPC / NPA EVENT RESULTS</t>
  </si>
  <si>
    <t>SAPF No</t>
  </si>
  <si>
    <t>RAPID FIRE PISTOL - .22 LONG</t>
  </si>
  <si>
    <t>AIR  PISTOL  - MEN</t>
  </si>
  <si>
    <t>AIR  PISTOL  - LADIES</t>
  </si>
  <si>
    <t>50 YARDS</t>
  </si>
  <si>
    <t>STANDARD PISTOL</t>
  </si>
  <si>
    <t>LADIES SPORT PISTOL</t>
  </si>
  <si>
    <t>Brian Brittain</t>
  </si>
  <si>
    <t>K Matthews</t>
  </si>
  <si>
    <t>B Muller</t>
  </si>
  <si>
    <t>R King</t>
  </si>
  <si>
    <t>DV Steyn</t>
  </si>
  <si>
    <t>Christo Crous</t>
  </si>
  <si>
    <t>C Crous</t>
  </si>
  <si>
    <t>S Myers</t>
  </si>
  <si>
    <t>S Gilbert</t>
  </si>
  <si>
    <t>NPA</t>
  </si>
  <si>
    <t>K Neethling</t>
  </si>
  <si>
    <t>J Rossouw</t>
  </si>
  <si>
    <t xml:space="preserve">V J van Rensburg </t>
  </si>
  <si>
    <t>EX Cele</t>
  </si>
  <si>
    <t>Carmel Manto</t>
  </si>
  <si>
    <t>Yatesh Ramtahal</t>
  </si>
  <si>
    <t>M Morgan</t>
  </si>
  <si>
    <t>John Vorster</t>
  </si>
  <si>
    <t xml:space="preserve"> E X Cele</t>
  </si>
  <si>
    <t>L Goldman</t>
  </si>
  <si>
    <t>E X Cele</t>
  </si>
  <si>
    <t>Sean Myers</t>
  </si>
  <si>
    <t>Lester Goldman</t>
  </si>
  <si>
    <t>Police Pistol II</t>
  </si>
  <si>
    <t>PP2</t>
  </si>
  <si>
    <t>BRONZE &lt;515, SILVER &lt;552, GOLD&lt;576, MASTER &lt;590, HI-MASTER OVER 589</t>
  </si>
  <si>
    <t>Hooben Pillay</t>
  </si>
  <si>
    <t>Puven Govender</t>
  </si>
  <si>
    <t xml:space="preserve"> 50 Meter FREE  PISTOL</t>
  </si>
  <si>
    <t>L Pottier</t>
  </si>
  <si>
    <t>S Palmer</t>
  </si>
  <si>
    <t>David Dickens</t>
  </si>
  <si>
    <t>G Allie</t>
  </si>
  <si>
    <t>EP Bouwer</t>
  </si>
  <si>
    <t>N Drennen</t>
  </si>
  <si>
    <t>A Govind</t>
  </si>
  <si>
    <t>M Kajee</t>
  </si>
  <si>
    <t>Koen H</t>
  </si>
  <si>
    <t>Kevin Neethling</t>
  </si>
  <si>
    <t>D Dickens</t>
  </si>
  <si>
    <t>NO</t>
  </si>
  <si>
    <t>Ashwin Govind</t>
  </si>
  <si>
    <t>CENTRAL GAUTENG OPEN CHAMPIONSHIPS - SANDF EEUFEES RANGE - 16 to 18 NOVEMBER 2023</t>
  </si>
  <si>
    <t>25M AIR SPORT PISTOL</t>
  </si>
  <si>
    <t>H Mommsen</t>
  </si>
  <si>
    <t>EJR Graham</t>
  </si>
  <si>
    <t>C Manto</t>
  </si>
  <si>
    <t>M N Fredericks</t>
  </si>
  <si>
    <t>H Pillay</t>
  </si>
  <si>
    <t>T Mashige</t>
  </si>
  <si>
    <t>K Evans</t>
  </si>
  <si>
    <t>M Begg</t>
  </si>
  <si>
    <t>A Omar</t>
  </si>
  <si>
    <t>R Lewis</t>
  </si>
  <si>
    <t>R Barnes</t>
  </si>
  <si>
    <t>A Daniels</t>
  </si>
  <si>
    <t>N Francis</t>
  </si>
  <si>
    <t>W Dawood</t>
  </si>
  <si>
    <t>M Walton</t>
  </si>
  <si>
    <t>B Petzer</t>
  </si>
  <si>
    <t>I Fisher</t>
  </si>
  <si>
    <t>K Petzer</t>
  </si>
  <si>
    <t>G Jones</t>
  </si>
  <si>
    <t xml:space="preserve">K Petzer </t>
  </si>
  <si>
    <t>Rika Swart</t>
  </si>
  <si>
    <t>GS van der Westhuizen</t>
  </si>
  <si>
    <t>T Crouwcamp</t>
  </si>
  <si>
    <t>L Brandt</t>
  </si>
  <si>
    <t>GS vd Westhuizen</t>
  </si>
  <si>
    <t>AW Grobler</t>
  </si>
  <si>
    <t>Y Mahommed</t>
  </si>
  <si>
    <t>KH Schutte</t>
  </si>
  <si>
    <t>K H Schutte</t>
  </si>
  <si>
    <t>Police Rifle - .22</t>
  </si>
  <si>
    <t>PR22</t>
  </si>
  <si>
    <t>Yes</t>
  </si>
  <si>
    <t>Service Rifle .22</t>
  </si>
  <si>
    <t>SR22</t>
  </si>
  <si>
    <t>K Maxwell</t>
  </si>
  <si>
    <t>FC Gates</t>
  </si>
  <si>
    <t>R Nagoor</t>
  </si>
  <si>
    <t>PJ Smith</t>
  </si>
  <si>
    <t>Nicci Steyn</t>
  </si>
  <si>
    <t>Konke Maxwell</t>
  </si>
  <si>
    <t>Maxwell Konke</t>
  </si>
  <si>
    <t>Novice</t>
  </si>
  <si>
    <t>Marissa Van Der Westhuisen</t>
  </si>
  <si>
    <t>I Pillay</t>
  </si>
  <si>
    <t>Marissa vd Westhuizen</t>
  </si>
  <si>
    <t>CM Watts</t>
  </si>
  <si>
    <t>E Bouwer</t>
  </si>
  <si>
    <t>M Halley</t>
  </si>
  <si>
    <t>B Nothling</t>
  </si>
  <si>
    <t>R Wyngaard</t>
  </si>
  <si>
    <t>Hayden Jennings</t>
  </si>
  <si>
    <t>Boys</t>
  </si>
  <si>
    <t>Girls</t>
  </si>
  <si>
    <t>AIR  PISTOL  - 60 YEARS + RESTING</t>
  </si>
  <si>
    <t>DQ</t>
  </si>
  <si>
    <t>JB Rahube</t>
  </si>
  <si>
    <t>C Watts</t>
  </si>
  <si>
    <t>Yatesh Ramtahar</t>
  </si>
  <si>
    <t>Ineshan Pillay</t>
  </si>
  <si>
    <t xml:space="preserve">                                                             CENTREFIRE</t>
  </si>
  <si>
    <t xml:space="preserve">Franco Swart </t>
  </si>
  <si>
    <t>F Swart</t>
  </si>
  <si>
    <t>C Strecker</t>
  </si>
  <si>
    <t>T Evans</t>
  </si>
  <si>
    <t>MN Fredericks</t>
  </si>
  <si>
    <t>A Charalambous</t>
  </si>
  <si>
    <t>C Janse van Rensburg</t>
  </si>
  <si>
    <t>R Swart</t>
  </si>
  <si>
    <t>Reshlan Nagoor</t>
  </si>
  <si>
    <t xml:space="preserve">G </t>
  </si>
  <si>
    <t>MG</t>
  </si>
  <si>
    <t>CI Pretorius</t>
  </si>
  <si>
    <t>M van der Westhuizen</t>
  </si>
  <si>
    <t>Andy Charalambous</t>
  </si>
  <si>
    <t>Carla van der Walt</t>
  </si>
  <si>
    <t>New</t>
  </si>
  <si>
    <t>KJ Nixon</t>
  </si>
  <si>
    <t>Andrew Nixon</t>
  </si>
  <si>
    <t>Tyler Morrison</t>
  </si>
  <si>
    <t>Jonathan Ridgard</t>
  </si>
  <si>
    <t>Reagan McAslin</t>
  </si>
  <si>
    <t>A Ridgard</t>
  </si>
  <si>
    <t>MS Gilbert</t>
  </si>
  <si>
    <t>Franco Swart</t>
  </si>
  <si>
    <t>C van der Walt</t>
  </si>
  <si>
    <t>A Nixon</t>
  </si>
  <si>
    <t>J Ridgard</t>
  </si>
  <si>
    <t>NAMES</t>
  </si>
  <si>
    <t>POL B</t>
  </si>
  <si>
    <t>SERV B</t>
  </si>
  <si>
    <t>TOTAL</t>
  </si>
  <si>
    <t>TP van der Merwe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</si>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</sst>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FF0000"/>
      <name val="Arial Narrow"/>
      <family val="2"/>
    </font>
    <font>
      <b/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rgb="FF0000FF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0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sz val="11"/>
      <name val="Arial Narrow"/>
      <family val="2"/>
    </font>
    <font>
      <b/>
      <i/>
      <sz val="12"/>
      <color rgb="FF0000FF"/>
      <name val="Arial Narrow"/>
      <family val="2"/>
    </font>
    <font>
      <b/>
      <sz val="12"/>
      <color rgb="FF0000FF"/>
      <name val="Arial Narrow"/>
      <family val="2"/>
    </font>
    <font>
      <b/>
      <sz val="18"/>
      <color rgb="FF0000FF"/>
      <name val="Arial Narrow"/>
      <family val="2"/>
    </font>
    <font>
      <b/>
      <sz val="14"/>
      <color rgb="FF0000FF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b/>
      <sz val="10"/>
      <color rgb="FF0000FF"/>
      <name val="Calibri"/>
      <family val="2"/>
      <scheme val="minor"/>
    </font>
    <font>
      <b/>
      <sz val="12"/>
      <name val="Arial Narrow"/>
      <family val="2"/>
    </font>
    <font>
      <b/>
      <sz val="16"/>
      <color rgb="FF0000FF"/>
      <name val="Calibri"/>
      <family val="2"/>
      <scheme val="minor"/>
    </font>
    <font>
      <b/>
      <sz val="10"/>
      <name val="Arial Narrow"/>
      <family val="2"/>
    </font>
    <font>
      <b/>
      <sz val="14"/>
      <name val="Arial Narrow"/>
      <family val="2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sz val="16"/>
      <color rgb="FF800000"/>
      <name val="Arial Narrow"/>
      <family val="2"/>
    </font>
    <font>
      <b/>
      <sz val="10"/>
      <color rgb="FF800000"/>
      <name val="Arial Narrow"/>
      <family val="2"/>
    </font>
    <font>
      <b/>
      <sz val="10"/>
      <color rgb="FF0000FF"/>
      <name val="Arial Narrow"/>
      <family val="2"/>
    </font>
    <font>
      <b/>
      <sz val="18"/>
      <color rgb="FF0000FF"/>
      <name val="Calibri"/>
      <family val="2"/>
      <scheme val="minor"/>
    </font>
    <font>
      <b/>
      <sz val="12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1"/>
      <color rgb="FF0033CC"/>
      <name val="Arial"/>
      <family val="2"/>
    </font>
    <font>
      <b/>
      <sz val="11"/>
      <color theme="1"/>
      <name val="Arial"/>
      <family val="2"/>
    </font>
    <font>
      <b/>
      <sz val="10"/>
      <color rgb="FF0033CC"/>
      <name val="Calibri"/>
      <family val="2"/>
      <scheme val="minor"/>
    </font>
    <font>
      <sz val="11"/>
      <color rgb="FF0033CC"/>
      <name val="Arial Narrow"/>
      <family val="2"/>
    </font>
    <font>
      <b/>
      <sz val="9"/>
      <color rgb="FF0033CC"/>
      <name val="Arial Narrow"/>
      <family val="2"/>
    </font>
    <font>
      <b/>
      <sz val="14"/>
      <color rgb="FF0033CC"/>
      <name val="Arial Narrow"/>
      <family val="2"/>
    </font>
    <font>
      <b/>
      <sz val="11"/>
      <color rgb="FF0033CC"/>
      <name val="Arial Narrow"/>
      <family val="2"/>
    </font>
    <font>
      <b/>
      <sz val="16"/>
      <color rgb="FF0033CC"/>
      <name val="Arial Narrow"/>
      <family val="2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Arial Narrow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1" fillId="0" borderId="0"/>
  </cellStyleXfs>
  <cellXfs count="1711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25" fillId="0" borderId="23" xfId="0" applyNumberFormat="1" applyFont="1" applyBorder="1" applyAlignment="1">
      <alignment horizontal="center" vertical="center"/>
    </xf>
    <xf numFmtId="1" fontId="29" fillId="0" borderId="23" xfId="0" applyNumberFormat="1" applyFont="1" applyBorder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65" fontId="26" fillId="0" borderId="13" xfId="0" applyNumberFormat="1" applyFont="1" applyBorder="1" applyAlignment="1">
      <alignment horizontal="center" vertical="center"/>
    </xf>
    <xf numFmtId="165" fontId="26" fillId="0" borderId="15" xfId="0" applyNumberFormat="1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29" fillId="0" borderId="5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" fontId="3" fillId="6" borderId="4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5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29" fillId="0" borderId="36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 wrapText="1"/>
    </xf>
    <xf numFmtId="1" fontId="15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26" fillId="0" borderId="55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" fontId="26" fillId="0" borderId="58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24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33" fillId="0" borderId="23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62" xfId="0" applyNumberFormat="1" applyFont="1" applyBorder="1" applyAlignment="1">
      <alignment horizontal="center" vertical="center"/>
    </xf>
    <xf numFmtId="1" fontId="26" fillId="0" borderId="36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26" fillId="0" borderId="71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5" fontId="34" fillId="0" borderId="23" xfId="0" applyNumberFormat="1" applyFont="1" applyBorder="1" applyAlignment="1">
      <alignment horizontal="center" vertical="center"/>
    </xf>
    <xf numFmtId="165" fontId="26" fillId="0" borderId="55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29" fillId="0" borderId="3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6" fillId="3" borderId="37" xfId="0" applyNumberFormat="1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26" fillId="0" borderId="25" xfId="0" applyNumberFormat="1" applyFont="1" applyBorder="1" applyAlignment="1">
      <alignment horizontal="center" vertical="center"/>
    </xf>
    <xf numFmtId="1" fontId="26" fillId="0" borderId="26" xfId="0" applyNumberFormat="1" applyFont="1" applyBorder="1" applyAlignment="1">
      <alignment horizontal="center" vertical="center"/>
    </xf>
    <xf numFmtId="1" fontId="38" fillId="0" borderId="2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9" fillId="0" borderId="55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25" fillId="0" borderId="33" xfId="0" applyNumberFormat="1" applyFont="1" applyBorder="1" applyAlignment="1">
      <alignment horizontal="center" vertical="center"/>
    </xf>
    <xf numFmtId="1" fontId="29" fillId="0" borderId="37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25" fillId="0" borderId="3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25" fillId="0" borderId="39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" fontId="11" fillId="0" borderId="63" xfId="0" applyNumberFormat="1" applyFont="1" applyBorder="1" applyAlignment="1">
      <alignment horizontal="center" vertical="center"/>
    </xf>
    <xf numFmtId="1" fontId="6" fillId="0" borderId="63" xfId="0" applyNumberFormat="1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9" fillId="0" borderId="62" xfId="0" applyNumberFormat="1" applyFont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1" fillId="0" borderId="76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1" fontId="42" fillId="3" borderId="36" xfId="0" applyNumberFormat="1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16" fontId="47" fillId="0" borderId="36" xfId="0" applyNumberFormat="1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1" fontId="49" fillId="0" borderId="36" xfId="0" applyNumberFormat="1" applyFont="1" applyBorder="1" applyAlignment="1">
      <alignment horizontal="center" vertical="center"/>
    </xf>
    <xf numFmtId="0" fontId="41" fillId="3" borderId="50" xfId="0" applyFont="1" applyFill="1" applyBorder="1" applyAlignment="1">
      <alignment horizontal="center" vertical="center"/>
    </xf>
    <xf numFmtId="16" fontId="47" fillId="0" borderId="50" xfId="0" applyNumberFormat="1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3" borderId="74" xfId="0" applyFont="1" applyFill="1" applyBorder="1" applyAlignment="1">
      <alignment horizontal="center" vertical="center"/>
    </xf>
    <xf numFmtId="1" fontId="42" fillId="3" borderId="29" xfId="0" applyNumberFormat="1" applyFont="1" applyFill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1" fontId="49" fillId="0" borderId="29" xfId="0" applyNumberFormat="1" applyFont="1" applyBorder="1" applyAlignment="1">
      <alignment horizontal="center" vertical="center"/>
    </xf>
    <xf numFmtId="1" fontId="42" fillId="3" borderId="33" xfId="0" applyNumberFormat="1" applyFont="1" applyFill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16" fontId="47" fillId="0" borderId="66" xfId="0" applyNumberFormat="1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1" fontId="49" fillId="0" borderId="33" xfId="0" applyNumberFormat="1" applyFont="1" applyBorder="1" applyAlignment="1">
      <alignment horizontal="center" vertical="center"/>
    </xf>
    <xf numFmtId="0" fontId="44" fillId="3" borderId="50" xfId="0" applyFont="1" applyFill="1" applyBorder="1" applyAlignment="1">
      <alignment horizontal="center" vertical="center"/>
    </xf>
    <xf numFmtId="0" fontId="44" fillId="3" borderId="37" xfId="0" applyFont="1" applyFill="1" applyBorder="1" applyAlignment="1">
      <alignment horizontal="center" vertical="center"/>
    </xf>
    <xf numFmtId="0" fontId="41" fillId="3" borderId="52" xfId="0" applyFont="1" applyFill="1" applyBorder="1" applyAlignment="1">
      <alignment horizontal="center" vertical="center"/>
    </xf>
    <xf numFmtId="16" fontId="47" fillId="0" borderId="52" xfId="0" applyNumberFormat="1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1" fontId="49" fillId="0" borderId="39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52" fillId="0" borderId="62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1" fontId="49" fillId="0" borderId="56" xfId="0" applyNumberFormat="1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/>
    </xf>
    <xf numFmtId="0" fontId="49" fillId="3" borderId="62" xfId="0" applyFont="1" applyFill="1" applyBorder="1" applyAlignment="1">
      <alignment horizontal="center" vertical="center"/>
    </xf>
    <xf numFmtId="0" fontId="41" fillId="3" borderId="66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/>
    </xf>
    <xf numFmtId="0" fontId="49" fillId="3" borderId="3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5" fillId="0" borderId="48" xfId="0" applyFont="1" applyBorder="1" applyAlignment="1">
      <alignment horizontal="center" vertical="center"/>
    </xf>
    <xf numFmtId="1" fontId="58" fillId="0" borderId="0" xfId="1" applyNumberFormat="1" applyFont="1" applyFill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16" fontId="47" fillId="0" borderId="5" xfId="0" applyNumberFormat="1" applyFont="1" applyBorder="1" applyAlignment="1">
      <alignment horizontal="center" vertical="center"/>
    </xf>
    <xf numFmtId="16" fontId="47" fillId="0" borderId="1" xfId="0" applyNumberFormat="1" applyFont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40" fillId="2" borderId="3" xfId="0" quotePrefix="1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16" fontId="47" fillId="0" borderId="73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3" fillId="0" borderId="0" xfId="0" applyFont="1"/>
    <xf numFmtId="1" fontId="12" fillId="0" borderId="0" xfId="0" applyNumberFormat="1" applyFont="1"/>
    <xf numFmtId="1" fontId="0" fillId="0" borderId="0" xfId="0" applyNumberFormat="1"/>
    <xf numFmtId="0" fontId="27" fillId="0" borderId="0" xfId="0" applyFont="1"/>
    <xf numFmtId="0" fontId="41" fillId="0" borderId="3" xfId="0" applyFont="1" applyBorder="1" applyAlignment="1">
      <alignment horizontal="center" vertical="center" wrapText="1"/>
    </xf>
    <xf numFmtId="1" fontId="49" fillId="0" borderId="3" xfId="0" applyNumberFormat="1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54" fillId="0" borderId="69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2" fillId="0" borderId="32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16" fontId="47" fillId="0" borderId="34" xfId="0" applyNumberFormat="1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16" fontId="47" fillId="0" borderId="39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7" fillId="0" borderId="0" xfId="1" applyAlignment="1">
      <alignment horizontal="center" vertical="center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67" fillId="0" borderId="0" xfId="1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40" fillId="3" borderId="0" xfId="0" quotePrefix="1" applyFont="1" applyFill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41" fillId="3" borderId="33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2" fillId="3" borderId="39" xfId="0" applyFont="1" applyFill="1" applyBorder="1" applyAlignment="1">
      <alignment horizontal="center" vertical="center"/>
    </xf>
    <xf numFmtId="0" fontId="42" fillId="3" borderId="37" xfId="0" applyFont="1" applyFill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1" fillId="3" borderId="73" xfId="0" applyFont="1" applyFill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/>
    </xf>
    <xf numFmtId="16" fontId="47" fillId="0" borderId="33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1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16" fontId="47" fillId="0" borderId="30" xfId="0" applyNumberFormat="1" applyFont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63" fillId="0" borderId="3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42" fillId="3" borderId="66" xfId="0" applyFont="1" applyFill="1" applyBorder="1" applyAlignment="1">
      <alignment horizontal="center" vertical="center"/>
    </xf>
    <xf numFmtId="0" fontId="42" fillId="3" borderId="73" xfId="0" applyFont="1" applyFill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16" fontId="47" fillId="0" borderId="72" xfId="0" applyNumberFormat="1" applyFont="1" applyBorder="1" applyAlignment="1">
      <alignment horizontal="center" vertical="center"/>
    </xf>
    <xf numFmtId="0" fontId="42" fillId="3" borderId="50" xfId="0" applyFont="1" applyFill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0" borderId="53" xfId="0" applyFont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1" fillId="3" borderId="71" xfId="0" applyFont="1" applyFill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1" fillId="3" borderId="56" xfId="0" applyFont="1" applyFill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" fontId="42" fillId="0" borderId="3" xfId="0" applyNumberFormat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42" fillId="3" borderId="78" xfId="0" applyFont="1" applyFill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1" fontId="29" fillId="0" borderId="33" xfId="0" applyNumberFormat="1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49" fillId="3" borderId="63" xfId="0" applyFont="1" applyFill="1" applyBorder="1" applyAlignment="1">
      <alignment horizontal="center" vertical="center"/>
    </xf>
    <xf numFmtId="0" fontId="47" fillId="3" borderId="6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30" fillId="0" borderId="45" xfId="0" applyNumberFormat="1" applyFont="1" applyBorder="1" applyAlignment="1">
      <alignment horizontal="center" vertical="center"/>
    </xf>
    <xf numFmtId="1" fontId="29" fillId="0" borderId="45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/>
    </xf>
    <xf numFmtId="1" fontId="49" fillId="0" borderId="62" xfId="0" applyNumberFormat="1" applyFont="1" applyBorder="1" applyAlignment="1">
      <alignment horizontal="center" vertical="center"/>
    </xf>
    <xf numFmtId="1" fontId="49" fillId="0" borderId="34" xfId="0" applyNumberFormat="1" applyFont="1" applyBorder="1" applyAlignment="1">
      <alignment horizontal="center" vertical="center"/>
    </xf>
    <xf numFmtId="0" fontId="42" fillId="3" borderId="4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65" fontId="26" fillId="0" borderId="62" xfId="0" applyNumberFormat="1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5" fontId="26" fillId="0" borderId="39" xfId="0" applyNumberFormat="1" applyFont="1" applyBorder="1" applyAlignment="1">
      <alignment horizontal="center" vertical="center"/>
    </xf>
    <xf numFmtId="1" fontId="29" fillId="0" borderId="56" xfId="0" applyNumberFormat="1" applyFont="1" applyBorder="1" applyAlignment="1">
      <alignment horizontal="center" vertical="center"/>
    </xf>
    <xf numFmtId="1" fontId="26" fillId="0" borderId="23" xfId="0" applyNumberFormat="1" applyFont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" fontId="11" fillId="0" borderId="75" xfId="0" applyNumberFormat="1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/>
    </xf>
    <xf numFmtId="1" fontId="23" fillId="0" borderId="33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16" fontId="47" fillId="0" borderId="29" xfId="0" applyNumberFormat="1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16" fontId="47" fillId="0" borderId="60" xfId="0" applyNumberFormat="1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/>
    <xf numFmtId="0" fontId="17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1" fontId="26" fillId="0" borderId="28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3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center" vertical="center"/>
    </xf>
    <xf numFmtId="0" fontId="77" fillId="0" borderId="0" xfId="0" applyFont="1"/>
    <xf numFmtId="0" fontId="79" fillId="0" borderId="3" xfId="0" applyFont="1" applyBorder="1" applyAlignment="1">
      <alignment horizontal="center" vertical="center" wrapText="1"/>
    </xf>
    <xf numFmtId="0" fontId="79" fillId="0" borderId="15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0" borderId="35" xfId="0" applyFont="1" applyBorder="1" applyAlignment="1">
      <alignment horizontal="center" vertical="center"/>
    </xf>
    <xf numFmtId="0" fontId="79" fillId="0" borderId="69" xfId="0" applyFont="1" applyBorder="1" applyAlignment="1">
      <alignment horizontal="center" vertical="center"/>
    </xf>
    <xf numFmtId="0" fontId="79" fillId="0" borderId="0" xfId="0" applyFont="1"/>
    <xf numFmtId="0" fontId="79" fillId="0" borderId="1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76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0" fontId="80" fillId="0" borderId="32" xfId="0" applyFont="1" applyBorder="1" applyAlignment="1">
      <alignment horizontal="center" vertical="center"/>
    </xf>
    <xf numFmtId="0" fontId="80" fillId="0" borderId="0" xfId="0" applyFont="1"/>
    <xf numFmtId="0" fontId="80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165" fontId="79" fillId="0" borderId="3" xfId="0" applyNumberFormat="1" applyFont="1" applyBorder="1" applyAlignment="1">
      <alignment horizontal="center" vertical="center" wrapText="1"/>
    </xf>
    <xf numFmtId="165" fontId="79" fillId="0" borderId="0" xfId="0" applyNumberFormat="1" applyFont="1" applyAlignment="1">
      <alignment horizontal="center" vertical="center"/>
    </xf>
    <xf numFmtId="165" fontId="79" fillId="0" borderId="15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65" fontId="26" fillId="0" borderId="50" xfId="0" applyNumberFormat="1" applyFont="1" applyBorder="1" applyAlignment="1">
      <alignment horizontal="center" vertical="center"/>
    </xf>
    <xf numFmtId="165" fontId="26" fillId="0" borderId="66" xfId="0" applyNumberFormat="1" applyFont="1" applyBorder="1" applyAlignment="1">
      <alignment horizontal="center" vertical="center"/>
    </xf>
    <xf numFmtId="165" fontId="79" fillId="0" borderId="1" xfId="0" applyNumberFormat="1" applyFont="1" applyBorder="1" applyAlignment="1">
      <alignment horizontal="center" vertical="center"/>
    </xf>
    <xf numFmtId="165" fontId="79" fillId="0" borderId="12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57" xfId="0" applyNumberFormat="1" applyFont="1" applyBorder="1" applyAlignment="1">
      <alignment horizontal="center" vertical="center"/>
    </xf>
    <xf numFmtId="0" fontId="78" fillId="0" borderId="0" xfId="0" applyFont="1"/>
    <xf numFmtId="165" fontId="78" fillId="0" borderId="0" xfId="0" applyNumberFormat="1" applyFont="1" applyAlignment="1">
      <alignment horizontal="center" vertical="center"/>
    </xf>
    <xf numFmtId="165" fontId="78" fillId="0" borderId="12" xfId="0" applyNumberFormat="1" applyFont="1" applyBorder="1" applyAlignment="1">
      <alignment horizontal="center" vertical="center"/>
    </xf>
    <xf numFmtId="165" fontId="78" fillId="0" borderId="1" xfId="0" applyNumberFormat="1" applyFont="1" applyBorder="1" applyAlignment="1">
      <alignment horizontal="center" vertical="center"/>
    </xf>
    <xf numFmtId="165" fontId="78" fillId="0" borderId="17" xfId="0" applyNumberFormat="1" applyFont="1" applyBorder="1" applyAlignment="1">
      <alignment horizontal="center" vertical="center"/>
    </xf>
    <xf numFmtId="165" fontId="78" fillId="0" borderId="70" xfId="0" applyNumberFormat="1" applyFont="1" applyBorder="1" applyAlignment="1">
      <alignment horizontal="center" vertical="center"/>
    </xf>
    <xf numFmtId="165" fontId="78" fillId="0" borderId="15" xfId="0" applyNumberFormat="1" applyFont="1" applyBorder="1" applyAlignment="1">
      <alignment horizontal="center" vertical="center"/>
    </xf>
    <xf numFmtId="165" fontId="78" fillId="0" borderId="13" xfId="0" applyNumberFormat="1" applyFont="1" applyBorder="1" applyAlignment="1">
      <alignment horizontal="center" vertical="center"/>
    </xf>
    <xf numFmtId="165" fontId="78" fillId="0" borderId="1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8" fillId="0" borderId="70" xfId="0" applyFont="1" applyBorder="1" applyAlignment="1">
      <alignment horizontal="center" vertical="center"/>
    </xf>
    <xf numFmtId="0" fontId="78" fillId="0" borderId="13" xfId="0" applyFont="1" applyBorder="1" applyAlignment="1">
      <alignment horizontal="center" vertical="center"/>
    </xf>
    <xf numFmtId="0" fontId="78" fillId="0" borderId="18" xfId="0" applyFont="1" applyBorder="1" applyAlignment="1">
      <alignment horizontal="center" vertical="center"/>
    </xf>
    <xf numFmtId="1" fontId="26" fillId="0" borderId="50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8" fillId="0" borderId="17" xfId="0" applyFont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78" fillId="0" borderId="63" xfId="0" applyFont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/>
    </xf>
    <xf numFmtId="1" fontId="26" fillId="0" borderId="52" xfId="0" applyNumberFormat="1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2" fillId="0" borderId="13" xfId="0" applyFont="1" applyBorder="1" applyAlignment="1">
      <alignment horizontal="center" vertical="center"/>
    </xf>
    <xf numFmtId="0" fontId="82" fillId="0" borderId="70" xfId="0" applyFont="1" applyBorder="1" applyAlignment="1">
      <alignment horizontal="center" vertical="center"/>
    </xf>
    <xf numFmtId="0" fontId="82" fillId="0" borderId="0" xfId="0" applyFont="1" applyAlignment="1">
      <alignment vertical="center"/>
    </xf>
    <xf numFmtId="0" fontId="85" fillId="0" borderId="13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84" fillId="0" borderId="13" xfId="0" applyFont="1" applyBorder="1" applyAlignment="1">
      <alignment horizontal="center" vertical="center"/>
    </xf>
    <xf numFmtId="0" fontId="84" fillId="0" borderId="15" xfId="0" applyFont="1" applyBorder="1" applyAlignment="1">
      <alignment horizontal="center" vertical="center"/>
    </xf>
    <xf numFmtId="0" fontId="84" fillId="0" borderId="70" xfId="0" applyFont="1" applyBorder="1" applyAlignment="1">
      <alignment horizontal="center" vertical="center"/>
    </xf>
    <xf numFmtId="0" fontId="85" fillId="0" borderId="70" xfId="0" applyFont="1" applyBorder="1" applyAlignment="1">
      <alignment horizontal="center" vertical="center"/>
    </xf>
    <xf numFmtId="0" fontId="85" fillId="0" borderId="61" xfId="0" applyFont="1" applyBorder="1" applyAlignment="1">
      <alignment horizontal="center" vertical="center"/>
    </xf>
    <xf numFmtId="1" fontId="49" fillId="0" borderId="0" xfId="0" applyNumberFormat="1" applyFont="1" applyBorder="1" applyAlignment="1">
      <alignment horizontal="center" vertical="center"/>
    </xf>
    <xf numFmtId="0" fontId="52" fillId="0" borderId="71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2" fillId="0" borderId="7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16" fontId="47" fillId="0" borderId="71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86" fillId="2" borderId="3" xfId="0" quotePrefix="1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0" fontId="78" fillId="0" borderId="77" xfId="0" applyFont="1" applyBorder="1" applyAlignment="1">
      <alignment horizontal="center" vertical="center"/>
    </xf>
    <xf numFmtId="1" fontId="29" fillId="0" borderId="47" xfId="0" applyNumberFormat="1" applyFont="1" applyBorder="1" applyAlignment="1">
      <alignment horizontal="center" vertical="center"/>
    </xf>
    <xf numFmtId="1" fontId="30" fillId="0" borderId="70" xfId="0" applyNumberFormat="1" applyFont="1" applyBorder="1" applyAlignment="1">
      <alignment horizontal="center" vertical="center"/>
    </xf>
    <xf numFmtId="165" fontId="26" fillId="0" borderId="43" xfId="0" applyNumberFormat="1" applyFont="1" applyBorder="1" applyAlignment="1">
      <alignment horizontal="center" vertical="center"/>
    </xf>
    <xf numFmtId="165" fontId="26" fillId="0" borderId="33" xfId="0" applyNumberFormat="1" applyFont="1" applyBorder="1" applyAlignment="1">
      <alignment horizontal="center" vertical="center"/>
    </xf>
    <xf numFmtId="165" fontId="79" fillId="0" borderId="70" xfId="0" applyNumberFormat="1" applyFont="1" applyBorder="1" applyAlignment="1">
      <alignment horizontal="center" vertical="center"/>
    </xf>
    <xf numFmtId="165" fontId="2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5" fontId="79" fillId="0" borderId="5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8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1" fontId="26" fillId="0" borderId="70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0" fillId="0" borderId="74" xfId="0" applyFont="1" applyBorder="1" applyAlignment="1">
      <alignment horizontal="center" vertical="center" wrapText="1"/>
    </xf>
    <xf numFmtId="0" fontId="83" fillId="0" borderId="55" xfId="0" applyFont="1" applyBorder="1" applyAlignment="1">
      <alignment horizontal="center" vertical="center" wrapText="1"/>
    </xf>
    <xf numFmtId="0" fontId="41" fillId="3" borderId="76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16" fontId="47" fillId="3" borderId="33" xfId="0" applyNumberFormat="1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1" fontId="30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" fontId="29" fillId="0" borderId="29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29" fillId="0" borderId="36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16" fontId="47" fillId="0" borderId="63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1" fillId="3" borderId="53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2" fillId="3" borderId="31" xfId="0" applyFont="1" applyFill="1" applyBorder="1" applyAlignment="1">
      <alignment horizontal="center" vertical="center"/>
    </xf>
    <xf numFmtId="0" fontId="41" fillId="3" borderId="47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25" fillId="3" borderId="0" xfId="0" quotePrefix="1" applyFont="1" applyFill="1" applyBorder="1" applyAlignment="1">
      <alignment horizontal="center" vertical="center"/>
    </xf>
    <xf numFmtId="0" fontId="0" fillId="3" borderId="0" xfId="0" applyFill="1" applyBorder="1"/>
    <xf numFmtId="0" fontId="41" fillId="3" borderId="0" xfId="0" applyFont="1" applyFill="1" applyBorder="1" applyAlignment="1">
      <alignment horizontal="center" vertical="center" wrapText="1"/>
    </xf>
    <xf numFmtId="1" fontId="42" fillId="3" borderId="0" xfId="0" applyNumberFormat="1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/>
    </xf>
    <xf numFmtId="1" fontId="42" fillId="3" borderId="0" xfId="0" applyNumberFormat="1" applyFont="1" applyFill="1" applyBorder="1" applyAlignment="1">
      <alignment horizontal="center" vertical="center"/>
    </xf>
    <xf numFmtId="16" fontId="65" fillId="3" borderId="0" xfId="0" applyNumberFormat="1" applyFont="1" applyFill="1" applyBorder="1" applyAlignment="1">
      <alignment horizontal="center" vertical="center"/>
    </xf>
    <xf numFmtId="1" fontId="24" fillId="3" borderId="0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center" vertical="center"/>
    </xf>
    <xf numFmtId="0" fontId="75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vertical="center"/>
    </xf>
    <xf numFmtId="0" fontId="3" fillId="3" borderId="0" xfId="0" applyFont="1" applyFill="1" applyBorder="1"/>
    <xf numFmtId="1" fontId="57" fillId="3" borderId="0" xfId="1" applyNumberFormat="1" applyFill="1" applyBorder="1"/>
    <xf numFmtId="0" fontId="12" fillId="3" borderId="0" xfId="0" applyFont="1" applyFill="1" applyBorder="1"/>
    <xf numFmtId="1" fontId="0" fillId="3" borderId="0" xfId="0" applyNumberFormat="1" applyFill="1" applyBorder="1"/>
    <xf numFmtId="0" fontId="44" fillId="0" borderId="62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56" fillId="0" borderId="47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66" fontId="87" fillId="0" borderId="1" xfId="2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/>
    </xf>
    <xf numFmtId="166" fontId="87" fillId="0" borderId="0" xfId="2" applyNumberFormat="1" applyFont="1" applyBorder="1" applyAlignment="1">
      <alignment horizontal="center"/>
    </xf>
    <xf numFmtId="1" fontId="3" fillId="0" borderId="53" xfId="0" applyNumberFormat="1" applyFont="1" applyBorder="1" applyAlignment="1">
      <alignment horizontal="center" vertical="center"/>
    </xf>
    <xf numFmtId="165" fontId="78" fillId="0" borderId="23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" fontId="11" fillId="0" borderId="78" xfId="0" applyNumberFormat="1" applyFont="1" applyBorder="1" applyAlignment="1">
      <alignment horizontal="center" vertical="center"/>
    </xf>
    <xf numFmtId="16" fontId="47" fillId="0" borderId="4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" fontId="49" fillId="0" borderId="74" xfId="0" applyNumberFormat="1" applyFont="1" applyBorder="1" applyAlignment="1">
      <alignment horizontal="center" vertical="center"/>
    </xf>
    <xf numFmtId="1" fontId="42" fillId="3" borderId="47" xfId="0" applyNumberFormat="1" applyFont="1" applyFill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vertical="center"/>
    </xf>
    <xf numFmtId="0" fontId="76" fillId="0" borderId="35" xfId="0" applyFont="1" applyBorder="1" applyAlignment="1">
      <alignment vertical="center"/>
    </xf>
    <xf numFmtId="1" fontId="26" fillId="0" borderId="5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" fontId="6" fillId="0" borderId="54" xfId="0" applyNumberFormat="1" applyFont="1" applyBorder="1" applyAlignment="1">
      <alignment horizontal="center" vertical="center"/>
    </xf>
    <xf numFmtId="1" fontId="26" fillId="0" borderId="67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" fontId="29" fillId="0" borderId="60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right" vertical="center"/>
    </xf>
    <xf numFmtId="166" fontId="27" fillId="0" borderId="1" xfId="2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166" fontId="27" fillId="0" borderId="5" xfId="2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vertical="center"/>
    </xf>
    <xf numFmtId="166" fontId="27" fillId="0" borderId="5" xfId="2" applyNumberFormat="1" applyFont="1" applyBorder="1" applyAlignment="1"/>
    <xf numFmtId="1" fontId="8" fillId="0" borderId="5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66" fontId="27" fillId="0" borderId="1" xfId="2" applyNumberFormat="1" applyFont="1" applyBorder="1" applyAlignment="1"/>
    <xf numFmtId="1" fontId="1" fillId="0" borderId="5" xfId="0" applyNumberFormat="1" applyFont="1" applyBorder="1" applyAlignment="1">
      <alignment vertical="center"/>
    </xf>
    <xf numFmtId="165" fontId="26" fillId="0" borderId="52" xfId="0" applyNumberFormat="1" applyFont="1" applyBorder="1" applyAlignment="1">
      <alignment horizontal="center" vertical="center"/>
    </xf>
    <xf numFmtId="165" fontId="79" fillId="0" borderId="1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16" fontId="47" fillId="0" borderId="23" xfId="0" applyNumberFormat="1" applyFont="1" applyBorder="1" applyAlignment="1">
      <alignment horizontal="center" vertical="center"/>
    </xf>
    <xf numFmtId="0" fontId="49" fillId="0" borderId="76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" fontId="6" fillId="0" borderId="77" xfId="0" applyNumberFormat="1" applyFont="1" applyBorder="1" applyAlignment="1">
      <alignment horizontal="center" vertical="center"/>
    </xf>
    <xf numFmtId="1" fontId="25" fillId="0" borderId="71" xfId="0" applyNumberFormat="1" applyFont="1" applyBorder="1" applyAlignment="1">
      <alignment horizontal="center" vertical="center"/>
    </xf>
    <xf numFmtId="0" fontId="78" fillId="0" borderId="45" xfId="0" applyFont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166" fontId="87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66" fontId="87" fillId="0" borderId="5" xfId="2" applyNumberFormat="1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76" fillId="0" borderId="15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166" fontId="87" fillId="0" borderId="60" xfId="2" applyNumberFormat="1" applyFont="1" applyBorder="1" applyAlignment="1">
      <alignment horizontal="right"/>
    </xf>
    <xf numFmtId="0" fontId="15" fillId="0" borderId="66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49" fillId="3" borderId="29" xfId="0" applyFont="1" applyFill="1" applyBorder="1" applyAlignment="1">
      <alignment horizontal="center" vertical="center"/>
    </xf>
    <xf numFmtId="1" fontId="49" fillId="0" borderId="23" xfId="0" applyNumberFormat="1" applyFont="1" applyBorder="1" applyAlignment="1">
      <alignment horizontal="center" vertical="center"/>
    </xf>
    <xf numFmtId="16" fontId="47" fillId="0" borderId="53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1" fontId="23" fillId="0" borderId="71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1" fontId="23" fillId="0" borderId="56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" fontId="49" fillId="0" borderId="30" xfId="0" applyNumberFormat="1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81" fillId="0" borderId="3" xfId="0" applyFont="1" applyBorder="1" applyAlignment="1">
      <alignment horizontal="center" vertical="center" wrapText="1"/>
    </xf>
    <xf numFmtId="0" fontId="61" fillId="3" borderId="29" xfId="0" applyFont="1" applyFill="1" applyBorder="1" applyAlignment="1">
      <alignment horizontal="center"/>
    </xf>
    <xf numFmtId="0" fontId="49" fillId="3" borderId="30" xfId="0" applyFont="1" applyFill="1" applyBorder="1" applyAlignment="1">
      <alignment horizontal="center" vertical="center"/>
    </xf>
    <xf numFmtId="16" fontId="47" fillId="3" borderId="74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30" fillId="0" borderId="1" xfId="0" applyNumberFormat="1" applyFont="1" applyBorder="1" applyAlignment="1">
      <alignment horizontal="right" vertical="center"/>
    </xf>
    <xf numFmtId="1" fontId="0" fillId="0" borderId="45" xfId="0" applyNumberFormat="1" applyBorder="1" applyAlignment="1">
      <alignment horizontal="right" vertical="center"/>
    </xf>
    <xf numFmtId="1" fontId="8" fillId="0" borderId="4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1" fontId="30" fillId="0" borderId="5" xfId="0" applyNumberFormat="1" applyFont="1" applyBorder="1" applyAlignment="1">
      <alignment horizontal="right" vertical="center"/>
    </xf>
    <xf numFmtId="1" fontId="0" fillId="0" borderId="60" xfId="0" applyNumberFormat="1" applyBorder="1" applyAlignment="1">
      <alignment horizontal="right" vertical="center"/>
    </xf>
    <xf numFmtId="0" fontId="6" fillId="3" borderId="17" xfId="0" applyFont="1" applyFill="1" applyBorder="1" applyAlignment="1">
      <alignment horizontal="center" vertical="center"/>
    </xf>
    <xf numFmtId="1" fontId="0" fillId="0" borderId="17" xfId="0" applyNumberFormat="1" applyBorder="1" applyAlignment="1">
      <alignment horizontal="right" vertical="center"/>
    </xf>
    <xf numFmtId="1" fontId="26" fillId="0" borderId="38" xfId="0" applyNumberFormat="1" applyFont="1" applyBorder="1" applyAlignment="1">
      <alignment horizontal="center" vertical="center"/>
    </xf>
    <xf numFmtId="1" fontId="11" fillId="0" borderId="60" xfId="0" applyNumberFormat="1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1" fontId="29" fillId="0" borderId="28" xfId="0" applyNumberFormat="1" applyFont="1" applyBorder="1" applyAlignment="1">
      <alignment horizontal="center" vertical="center"/>
    </xf>
    <xf numFmtId="1" fontId="29" fillId="0" borderId="64" xfId="0" applyNumberFormat="1" applyFont="1" applyBorder="1" applyAlignment="1">
      <alignment horizontal="center" vertical="center"/>
    </xf>
    <xf numFmtId="165" fontId="26" fillId="0" borderId="29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right" vertical="center"/>
    </xf>
    <xf numFmtId="1" fontId="8" fillId="0" borderId="63" xfId="0" applyNumberFormat="1" applyFont="1" applyBorder="1" applyAlignment="1">
      <alignment horizontal="right" vertical="center"/>
    </xf>
    <xf numFmtId="1" fontId="30" fillId="0" borderId="63" xfId="0" applyNumberFormat="1" applyFont="1" applyBorder="1" applyAlignment="1">
      <alignment horizontal="right" vertical="center"/>
    </xf>
    <xf numFmtId="1" fontId="29" fillId="0" borderId="46" xfId="0" applyNumberFormat="1" applyFont="1" applyBorder="1" applyAlignment="1">
      <alignment horizontal="center" vertical="center"/>
    </xf>
    <xf numFmtId="165" fontId="26" fillId="0" borderId="71" xfId="0" applyNumberFormat="1" applyFont="1" applyBorder="1" applyAlignment="1">
      <alignment horizontal="center" vertical="center"/>
    </xf>
    <xf numFmtId="0" fontId="80" fillId="0" borderId="44" xfId="0" applyFont="1" applyBorder="1" applyAlignment="1">
      <alignment horizontal="center" vertical="center"/>
    </xf>
    <xf numFmtId="0" fontId="79" fillId="0" borderId="46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right" vertical="center"/>
    </xf>
    <xf numFmtId="1" fontId="9" fillId="0" borderId="10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26" fillId="0" borderId="7" xfId="0" applyNumberFormat="1" applyFont="1" applyBorder="1" applyAlignment="1">
      <alignment horizontal="center" vertical="center"/>
    </xf>
    <xf numFmtId="1" fontId="38" fillId="0" borderId="49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/>
    </xf>
    <xf numFmtId="1" fontId="29" fillId="0" borderId="42" xfId="0" applyNumberFormat="1" applyFont="1" applyBorder="1" applyAlignment="1">
      <alignment horizontal="center" vertical="center"/>
    </xf>
    <xf numFmtId="1" fontId="26" fillId="0" borderId="72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29" fillId="0" borderId="34" xfId="0" applyNumberFormat="1" applyFont="1" applyBorder="1" applyAlignment="1">
      <alignment horizontal="center" vertical="center"/>
    </xf>
    <xf numFmtId="1" fontId="26" fillId="0" borderId="66" xfId="0" applyNumberFormat="1" applyFont="1" applyBorder="1" applyAlignment="1">
      <alignment horizontal="center" vertical="center"/>
    </xf>
    <xf numFmtId="1" fontId="3" fillId="0" borderId="47" xfId="0" applyNumberFormat="1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" fontId="11" fillId="0" borderId="79" xfId="0" applyNumberFormat="1" applyFont="1" applyBorder="1" applyAlignment="1">
      <alignment horizontal="center" vertical="center"/>
    </xf>
    <xf numFmtId="1" fontId="6" fillId="0" borderId="61" xfId="0" applyNumberFormat="1" applyFont="1" applyBorder="1" applyAlignment="1">
      <alignment horizontal="center" vertical="center"/>
    </xf>
    <xf numFmtId="1" fontId="25" fillId="0" borderId="47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" fontId="26" fillId="0" borderId="48" xfId="0" applyNumberFormat="1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right" vertical="center"/>
    </xf>
    <xf numFmtId="1" fontId="35" fillId="0" borderId="5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 vertical="center"/>
    </xf>
    <xf numFmtId="1" fontId="35" fillId="0" borderId="1" xfId="0" applyNumberFormat="1" applyFont="1" applyBorder="1" applyAlignment="1">
      <alignment horizontal="right" vertical="center"/>
    </xf>
    <xf numFmtId="1" fontId="12" fillId="0" borderId="12" xfId="0" applyNumberFormat="1" applyFont="1" applyBorder="1" applyAlignment="1">
      <alignment horizontal="right" vertical="center"/>
    </xf>
    <xf numFmtId="1" fontId="35" fillId="0" borderId="12" xfId="0" applyNumberFormat="1" applyFont="1" applyBorder="1" applyAlignment="1">
      <alignment horizontal="right" vertical="center"/>
    </xf>
    <xf numFmtId="1" fontId="9" fillId="0" borderId="28" xfId="0" applyNumberFormat="1" applyFont="1" applyBorder="1" applyAlignment="1">
      <alignment horizontal="right" vertical="center"/>
    </xf>
    <xf numFmtId="1" fontId="12" fillId="0" borderId="60" xfId="0" applyNumberFormat="1" applyFont="1" applyBorder="1" applyAlignment="1">
      <alignment horizontal="right" vertical="center"/>
    </xf>
    <xf numFmtId="1" fontId="35" fillId="0" borderId="60" xfId="0" applyNumberFormat="1" applyFont="1" applyBorder="1" applyAlignment="1">
      <alignment horizontal="right" vertical="center"/>
    </xf>
    <xf numFmtId="1" fontId="26" fillId="0" borderId="74" xfId="0" applyNumberFormat="1" applyFont="1" applyBorder="1" applyAlignment="1">
      <alignment horizontal="center" vertical="center"/>
    </xf>
    <xf numFmtId="1" fontId="35" fillId="3" borderId="1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6" fontId="47" fillId="0" borderId="12" xfId="0" applyNumberFormat="1" applyFont="1" applyBorder="1" applyAlignment="1">
      <alignment horizontal="center" vertical="center"/>
    </xf>
    <xf numFmtId="0" fontId="61" fillId="3" borderId="36" xfId="0" applyFont="1" applyFill="1" applyBorder="1" applyAlignment="1">
      <alignment horizontal="center"/>
    </xf>
    <xf numFmtId="0" fontId="56" fillId="0" borderId="36" xfId="0" applyFont="1" applyBorder="1" applyAlignment="1">
      <alignment horizontal="center" vertical="center"/>
    </xf>
    <xf numFmtId="0" fontId="60" fillId="0" borderId="50" xfId="0" applyFont="1" applyBorder="1" applyAlignment="1">
      <alignment horizontal="center" vertical="center"/>
    </xf>
    <xf numFmtId="0" fontId="84" fillId="0" borderId="14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85" fillId="0" borderId="15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/>
    </xf>
    <xf numFmtId="0" fontId="61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0" fontId="0" fillId="0" borderId="0" xfId="0" applyBorder="1"/>
    <xf numFmtId="0" fontId="15" fillId="0" borderId="2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27" fillId="0" borderId="0" xfId="2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24" fillId="0" borderId="56" xfId="0" applyFont="1" applyBorder="1" applyAlignment="1">
      <alignment horizontal="center" vertical="center"/>
    </xf>
    <xf numFmtId="165" fontId="79" fillId="0" borderId="77" xfId="0" applyNumberFormat="1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5" fontId="78" fillId="0" borderId="5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78" fillId="0" borderId="21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1" fontId="29" fillId="0" borderId="35" xfId="0" applyNumberFormat="1" applyFont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0" fillId="0" borderId="5" xfId="0" applyNumberForma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1" fontId="0" fillId="0" borderId="1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" fontId="3" fillId="3" borderId="1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" fontId="30" fillId="3" borderId="28" xfId="0" applyNumberFormat="1" applyFont="1" applyFill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82" fillId="0" borderId="35" xfId="0" applyFont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16" fontId="47" fillId="3" borderId="29" xfId="0" applyNumberFormat="1" applyFont="1" applyFill="1" applyBorder="1" applyAlignment="1">
      <alignment horizontal="center" vertical="center"/>
    </xf>
    <xf numFmtId="16" fontId="47" fillId="3" borderId="36" xfId="0" applyNumberFormat="1" applyFont="1" applyFill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33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 vertical="center"/>
    </xf>
    <xf numFmtId="0" fontId="82" fillId="0" borderId="71" xfId="0" applyFont="1" applyBorder="1" applyAlignment="1">
      <alignment horizontal="center" vertical="center"/>
    </xf>
    <xf numFmtId="1" fontId="38" fillId="0" borderId="27" xfId="0" applyNumberFormat="1" applyFont="1" applyFill="1" applyBorder="1" applyAlignment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6" fillId="0" borderId="29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" fontId="11" fillId="0" borderId="41" xfId="0" applyNumberFormat="1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41" fillId="3" borderId="62" xfId="0" applyFont="1" applyFill="1" applyBorder="1" applyAlignment="1">
      <alignment horizontal="center" vertical="center"/>
    </xf>
    <xf numFmtId="0" fontId="47" fillId="3" borderId="36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1" fontId="10" fillId="0" borderId="71" xfId="0" applyNumberFormat="1" applyFont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 vertical="center"/>
    </xf>
    <xf numFmtId="1" fontId="15" fillId="0" borderId="64" xfId="0" applyNumberFormat="1" applyFont="1" applyBorder="1" applyAlignment="1">
      <alignment horizontal="center" vertical="center"/>
    </xf>
    <xf numFmtId="166" fontId="87" fillId="0" borderId="1" xfId="2" applyNumberFormat="1" applyFont="1" applyBorder="1" applyAlignment="1"/>
    <xf numFmtId="166" fontId="87" fillId="0" borderId="1" xfId="2" applyNumberFormat="1" applyFont="1" applyBorder="1" applyAlignment="1">
      <alignment vertical="center"/>
    </xf>
    <xf numFmtId="166" fontId="87" fillId="0" borderId="5" xfId="2" applyNumberFormat="1" applyFont="1" applyBorder="1" applyAlignment="1"/>
    <xf numFmtId="166" fontId="87" fillId="0" borderId="1" xfId="2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6" fontId="87" fillId="0" borderId="0" xfId="2" applyNumberFormat="1" applyFont="1" applyBorder="1" applyAlignment="1">
      <alignment horizontal="center" vertical="center"/>
    </xf>
    <xf numFmtId="166" fontId="87" fillId="0" borderId="60" xfId="2" applyNumberFormat="1" applyFont="1" applyBorder="1" applyAlignment="1">
      <alignment horizontal="center" vertical="center"/>
    </xf>
    <xf numFmtId="166" fontId="87" fillId="0" borderId="12" xfId="2" applyNumberFormat="1" applyFont="1" applyBorder="1" applyAlignment="1">
      <alignment horizontal="center" vertical="center"/>
    </xf>
    <xf numFmtId="166" fontId="87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6" fontId="22" fillId="0" borderId="5" xfId="2" applyNumberFormat="1" applyFont="1" applyBorder="1" applyAlignment="1">
      <alignment horizontal="right"/>
    </xf>
    <xf numFmtId="0" fontId="1" fillId="0" borderId="1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6" fontId="27" fillId="0" borderId="12" xfId="2" applyNumberFormat="1" applyFont="1" applyBorder="1" applyAlignment="1">
      <alignment horizontal="right" vertical="center"/>
    </xf>
    <xf numFmtId="166" fontId="27" fillId="0" borderId="5" xfId="2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vertical="center"/>
    </xf>
    <xf numFmtId="166" fontId="22" fillId="0" borderId="12" xfId="2" applyNumberFormat="1" applyFont="1" applyBorder="1" applyAlignment="1">
      <alignment horizontal="center"/>
    </xf>
    <xf numFmtId="166" fontId="22" fillId="0" borderId="5" xfId="2" applyNumberFormat="1" applyFont="1" applyBorder="1" applyAlignment="1">
      <alignment horizontal="center"/>
    </xf>
    <xf numFmtId="166" fontId="22" fillId="0" borderId="1" xfId="2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35" fillId="0" borderId="17" xfId="0" applyNumberFormat="1" applyFont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35" fillId="0" borderId="5" xfId="0" applyNumberFormat="1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2" fillId="0" borderId="60" xfId="0" applyNumberFormat="1" applyFont="1" applyBorder="1" applyAlignment="1">
      <alignment horizontal="center"/>
    </xf>
    <xf numFmtId="1" fontId="35" fillId="0" borderId="60" xfId="0" applyNumberFormat="1" applyFont="1" applyBorder="1" applyAlignment="1">
      <alignment horizontal="center"/>
    </xf>
    <xf numFmtId="1" fontId="21" fillId="0" borderId="60" xfId="0" applyNumberFormat="1" applyFont="1" applyBorder="1" applyAlignment="1">
      <alignment horizontal="center"/>
    </xf>
    <xf numFmtId="1" fontId="0" fillId="0" borderId="12" xfId="0" applyNumberFormat="1" applyBorder="1" applyAlignment="1">
      <alignment vertical="center"/>
    </xf>
    <xf numFmtId="166" fontId="27" fillId="0" borderId="1" xfId="2" applyNumberFormat="1" applyFont="1" applyBorder="1" applyAlignment="1">
      <alignment horizontal="right" vertical="center"/>
    </xf>
    <xf numFmtId="1" fontId="0" fillId="0" borderId="12" xfId="0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" fontId="9" fillId="0" borderId="12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30" fillId="0" borderId="1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1" fontId="30" fillId="0" borderId="5" xfId="0" applyNumberFormat="1" applyFont="1" applyBorder="1" applyAlignment="1">
      <alignment horizontal="right"/>
    </xf>
    <xf numFmtId="1" fontId="9" fillId="0" borderId="5" xfId="0" applyNumberFormat="1" applyFont="1" applyBorder="1" applyAlignment="1">
      <alignment horizontal="right"/>
    </xf>
    <xf numFmtId="165" fontId="79" fillId="0" borderId="22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right" vertical="center"/>
    </xf>
    <xf numFmtId="1" fontId="9" fillId="0" borderId="49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6" fontId="27" fillId="0" borderId="2" xfId="2" applyNumberFormat="1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1" fontId="9" fillId="0" borderId="10" xfId="0" applyNumberFormat="1" applyFont="1" applyBorder="1" applyAlignment="1">
      <alignment horizontal="right"/>
    </xf>
    <xf numFmtId="1" fontId="9" fillId="0" borderId="13" xfId="0" applyNumberFormat="1" applyFont="1" applyBorder="1" applyAlignment="1">
      <alignment vertical="center"/>
    </xf>
    <xf numFmtId="1" fontId="9" fillId="0" borderId="15" xfId="0" applyNumberFormat="1" applyFont="1" applyBorder="1" applyAlignment="1">
      <alignment vertical="center"/>
    </xf>
    <xf numFmtId="166" fontId="27" fillId="0" borderId="15" xfId="2" applyNumberFormat="1" applyFont="1" applyBorder="1" applyAlignment="1"/>
    <xf numFmtId="1" fontId="9" fillId="0" borderId="70" xfId="0" applyNumberFormat="1" applyFont="1" applyBorder="1" applyAlignment="1">
      <alignment vertical="center"/>
    </xf>
    <xf numFmtId="166" fontId="27" fillId="0" borderId="70" xfId="2" applyNumberFormat="1" applyFont="1" applyBorder="1" applyAlignment="1"/>
    <xf numFmtId="0" fontId="9" fillId="0" borderId="15" xfId="0" applyFont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70" xfId="0" applyNumberFormat="1" applyFont="1" applyBorder="1" applyAlignment="1">
      <alignment horizontal="right" vertical="center"/>
    </xf>
    <xf numFmtId="165" fontId="26" fillId="0" borderId="74" xfId="0" applyNumberFormat="1" applyFont="1" applyBorder="1" applyAlignment="1">
      <alignment horizontal="center" vertical="center"/>
    </xf>
    <xf numFmtId="1" fontId="15" fillId="0" borderId="28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0" fillId="0" borderId="17" xfId="0" applyNumberFormat="1" applyBorder="1" applyAlignment="1">
      <alignment horizontal="right"/>
    </xf>
    <xf numFmtId="1" fontId="3" fillId="0" borderId="17" xfId="0" applyNumberFormat="1" applyFont="1" applyBorder="1" applyAlignment="1">
      <alignment horizontal="right"/>
    </xf>
    <xf numFmtId="1" fontId="15" fillId="0" borderId="38" xfId="0" applyNumberFormat="1" applyFont="1" applyBorder="1" applyAlignment="1">
      <alignment horizontal="right"/>
    </xf>
    <xf numFmtId="166" fontId="27" fillId="3" borderId="45" xfId="2" applyNumberFormat="1" applyFont="1" applyFill="1" applyBorder="1" applyAlignment="1">
      <alignment horizontal="right" wrapText="1"/>
    </xf>
    <xf numFmtId="1" fontId="24" fillId="0" borderId="77" xfId="0" applyNumberFormat="1" applyFont="1" applyBorder="1" applyAlignment="1">
      <alignment horizontal="right"/>
    </xf>
    <xf numFmtId="166" fontId="27" fillId="3" borderId="1" xfId="2" applyNumberFormat="1" applyFont="1" applyFill="1" applyBorder="1" applyAlignment="1">
      <alignment horizontal="right" wrapText="1"/>
    </xf>
    <xf numFmtId="1" fontId="24" fillId="0" borderId="15" xfId="0" applyNumberFormat="1" applyFont="1" applyBorder="1" applyAlignment="1">
      <alignment horizontal="right"/>
    </xf>
    <xf numFmtId="1" fontId="24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right"/>
    </xf>
    <xf numFmtId="166" fontId="27" fillId="3" borderId="12" xfId="2" applyNumberFormat="1" applyFont="1" applyFill="1" applyBorder="1" applyAlignment="1">
      <alignment horizontal="right" wrapText="1"/>
    </xf>
    <xf numFmtId="1" fontId="24" fillId="0" borderId="28" xfId="0" applyNumberFormat="1" applyFont="1" applyBorder="1" applyAlignment="1">
      <alignment horizontal="right"/>
    </xf>
    <xf numFmtId="1" fontId="24" fillId="0" borderId="1" xfId="0" applyNumberFormat="1" applyFont="1" applyBorder="1" applyAlignment="1">
      <alignment horizontal="right"/>
    </xf>
    <xf numFmtId="166" fontId="27" fillId="3" borderId="17" xfId="2" applyNumberFormat="1" applyFont="1" applyFill="1" applyBorder="1" applyAlignment="1">
      <alignment horizontal="right" wrapText="1"/>
    </xf>
    <xf numFmtId="166" fontId="27" fillId="3" borderId="38" xfId="2" applyNumberFormat="1" applyFont="1" applyFill="1" applyBorder="1" applyAlignment="1">
      <alignment horizontal="right" wrapText="1"/>
    </xf>
    <xf numFmtId="1" fontId="0" fillId="0" borderId="12" xfId="0" applyNumberFormat="1" applyBorder="1" applyAlignment="1">
      <alignment horizontal="right"/>
    </xf>
    <xf numFmtId="1" fontId="3" fillId="0" borderId="12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1" fontId="15" fillId="0" borderId="10" xfId="0" applyNumberFormat="1" applyFont="1" applyBorder="1" applyAlignment="1">
      <alignment horizontal="right"/>
    </xf>
    <xf numFmtId="166" fontId="87" fillId="3" borderId="1" xfId="2" applyNumberFormat="1" applyFont="1" applyFill="1" applyBorder="1" applyAlignment="1">
      <alignment horizontal="right" wrapText="1"/>
    </xf>
    <xf numFmtId="1" fontId="0" fillId="0" borderId="12" xfId="0" applyNumberFormat="1" applyBorder="1" applyAlignment="1"/>
    <xf numFmtId="1" fontId="0" fillId="0" borderId="1" xfId="0" applyNumberFormat="1" applyBorder="1" applyAlignment="1"/>
    <xf numFmtId="1" fontId="0" fillId="0" borderId="5" xfId="0" applyNumberFormat="1" applyBorder="1" applyAlignment="1"/>
    <xf numFmtId="1" fontId="0" fillId="3" borderId="12" xfId="0" applyNumberFormat="1" applyFill="1" applyBorder="1" applyAlignment="1">
      <alignment horizontal="right" vertical="center"/>
    </xf>
    <xf numFmtId="1" fontId="8" fillId="3" borderId="12" xfId="0" applyNumberFormat="1" applyFont="1" applyFill="1" applyBorder="1" applyAlignment="1">
      <alignment horizontal="right" vertical="center"/>
    </xf>
    <xf numFmtId="166" fontId="87" fillId="0" borderId="12" xfId="2" applyNumberFormat="1" applyFont="1" applyBorder="1" applyAlignment="1">
      <alignment horizontal="right" vertical="center"/>
    </xf>
    <xf numFmtId="166" fontId="87" fillId="0" borderId="1" xfId="2" applyNumberFormat="1" applyFont="1" applyBorder="1" applyAlignment="1">
      <alignment horizontal="right" vertical="center"/>
    </xf>
    <xf numFmtId="166" fontId="87" fillId="0" borderId="5" xfId="2" applyNumberFormat="1" applyFont="1" applyBorder="1" applyAlignment="1">
      <alignment horizontal="right" vertical="center"/>
    </xf>
    <xf numFmtId="1" fontId="8" fillId="0" borderId="1" xfId="0" applyNumberFormat="1" applyFont="1" applyBorder="1" applyAlignment="1"/>
    <xf numFmtId="1" fontId="30" fillId="0" borderId="15" xfId="0" applyNumberFormat="1" applyFont="1" applyBorder="1" applyAlignment="1"/>
    <xf numFmtId="1" fontId="8" fillId="0" borderId="5" xfId="0" applyNumberFormat="1" applyFont="1" applyBorder="1" applyAlignment="1"/>
    <xf numFmtId="1" fontId="30" fillId="0" borderId="2" xfId="0" applyNumberFormat="1" applyFont="1" applyBorder="1" applyAlignment="1">
      <alignment vertical="center"/>
    </xf>
    <xf numFmtId="166" fontId="87" fillId="0" borderId="12" xfId="2" applyNumberFormat="1" applyFont="1" applyBorder="1" applyAlignment="1">
      <alignment vertical="center"/>
    </xf>
    <xf numFmtId="1" fontId="90" fillId="0" borderId="12" xfId="0" applyNumberFormat="1" applyFont="1" applyBorder="1" applyAlignment="1">
      <alignment vertical="center"/>
    </xf>
    <xf numFmtId="1" fontId="88" fillId="0" borderId="12" xfId="0" applyNumberFormat="1" applyFont="1" applyBorder="1" applyAlignment="1">
      <alignment vertical="center"/>
    </xf>
    <xf numFmtId="1" fontId="89" fillId="0" borderId="28" xfId="0" applyNumberFormat="1" applyFont="1" applyBorder="1" applyAlignment="1">
      <alignment vertical="center"/>
    </xf>
    <xf numFmtId="1" fontId="30" fillId="0" borderId="15" xfId="0" applyNumberFormat="1" applyFont="1" applyBorder="1" applyAlignment="1">
      <alignment vertical="center"/>
    </xf>
    <xf numFmtId="1" fontId="30" fillId="0" borderId="10" xfId="0" applyNumberFormat="1" applyFont="1" applyBorder="1" applyAlignment="1">
      <alignment vertical="center"/>
    </xf>
    <xf numFmtId="1" fontId="90" fillId="0" borderId="5" xfId="0" applyNumberFormat="1" applyFont="1" applyBorder="1" applyAlignment="1"/>
    <xf numFmtId="1" fontId="88" fillId="0" borderId="5" xfId="0" applyNumberFormat="1" applyFont="1" applyBorder="1" applyAlignment="1"/>
    <xf numFmtId="1" fontId="0" fillId="0" borderId="45" xfId="0" applyNumberFormat="1" applyBorder="1" applyAlignment="1"/>
    <xf numFmtId="1" fontId="8" fillId="0" borderId="45" xfId="0" applyNumberFormat="1" applyFont="1" applyBorder="1" applyAlignment="1"/>
    <xf numFmtId="1" fontId="30" fillId="0" borderId="46" xfId="0" applyNumberFormat="1" applyFont="1" applyBorder="1" applyAlignment="1"/>
    <xf numFmtId="1" fontId="0" fillId="0" borderId="63" xfId="0" applyNumberFormat="1" applyBorder="1" applyAlignment="1"/>
    <xf numFmtId="1" fontId="8" fillId="0" borderId="63" xfId="0" applyNumberFormat="1" applyFont="1" applyBorder="1" applyAlignment="1"/>
    <xf numFmtId="1" fontId="30" fillId="0" borderId="69" xfId="0" applyNumberFormat="1" applyFont="1" applyBorder="1" applyAlignment="1"/>
    <xf numFmtId="0" fontId="6" fillId="0" borderId="26" xfId="0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78" fillId="0" borderId="67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vertical="center"/>
    </xf>
    <xf numFmtId="1" fontId="35" fillId="0" borderId="1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1" fontId="35" fillId="0" borderId="5" xfId="0" applyNumberFormat="1" applyFont="1" applyBorder="1" applyAlignment="1">
      <alignment vertical="center"/>
    </xf>
    <xf numFmtId="1" fontId="21" fillId="0" borderId="2" xfId="0" applyNumberFormat="1" applyFont="1" applyBorder="1" applyAlignment="1">
      <alignment vertical="center"/>
    </xf>
    <xf numFmtId="1" fontId="21" fillId="0" borderId="10" xfId="0" applyNumberFormat="1" applyFont="1" applyBorder="1" applyAlignment="1">
      <alignment vertical="center"/>
    </xf>
    <xf numFmtId="166" fontId="22" fillId="0" borderId="5" xfId="2" applyNumberFormat="1" applyFont="1" applyBorder="1" applyAlignment="1">
      <alignment vertical="center"/>
    </xf>
    <xf numFmtId="166" fontId="22" fillId="0" borderId="1" xfId="2" applyNumberFormat="1" applyFont="1" applyBorder="1" applyAlignment="1">
      <alignment horizontal="right"/>
    </xf>
    <xf numFmtId="1" fontId="12" fillId="0" borderId="26" xfId="0" applyNumberFormat="1" applyFont="1" applyBorder="1" applyAlignment="1">
      <alignment horizontal="right"/>
    </xf>
    <xf numFmtId="1" fontId="35" fillId="0" borderId="26" xfId="0" applyNumberFormat="1" applyFont="1" applyBorder="1" applyAlignment="1">
      <alignment horizontal="right"/>
    </xf>
    <xf numFmtId="1" fontId="21" fillId="0" borderId="27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35" fillId="0" borderId="1" xfId="0" applyNumberFormat="1" applyFont="1" applyBorder="1" applyAlignment="1">
      <alignment horizontal="right"/>
    </xf>
    <xf numFmtId="1" fontId="21" fillId="0" borderId="2" xfId="0" applyNumberFormat="1" applyFont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/>
    </xf>
    <xf numFmtId="0" fontId="85" fillId="0" borderId="62" xfId="0" applyFont="1" applyBorder="1" applyAlignment="1">
      <alignment horizontal="center" vertical="center"/>
    </xf>
    <xf numFmtId="0" fontId="85" fillId="0" borderId="37" xfId="0" applyFont="1" applyBorder="1" applyAlignment="1">
      <alignment horizontal="center" vertical="center"/>
    </xf>
    <xf numFmtId="0" fontId="66" fillId="0" borderId="29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52" fillId="0" borderId="55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1" fontId="23" fillId="0" borderId="42" xfId="0" applyNumberFormat="1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54" fillId="0" borderId="35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3" borderId="71" xfId="0" applyFont="1" applyFill="1" applyBorder="1" applyAlignment="1">
      <alignment horizontal="center" vertical="center"/>
    </xf>
    <xf numFmtId="16" fontId="47" fillId="3" borderId="71" xfId="0" applyNumberFormat="1" applyFont="1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1" fontId="49" fillId="0" borderId="48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wrapText="1"/>
    </xf>
    <xf numFmtId="1" fontId="42" fillId="0" borderId="33" xfId="0" applyNumberFormat="1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9" fillId="3" borderId="40" xfId="0" applyFont="1" applyFill="1" applyBorder="1" applyAlignment="1">
      <alignment horizontal="center" vertical="center"/>
    </xf>
    <xf numFmtId="16" fontId="47" fillId="3" borderId="48" xfId="0" applyNumberFormat="1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/>
    </xf>
    <xf numFmtId="1" fontId="35" fillId="3" borderId="1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1" fontId="29" fillId="3" borderId="1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9" fillId="0" borderId="70" xfId="0" applyFont="1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" fontId="24" fillId="0" borderId="2" xfId="0" applyNumberFormat="1" applyFont="1" applyBorder="1" applyAlignment="1">
      <alignment horizontal="right" vertical="center"/>
    </xf>
    <xf numFmtId="165" fontId="26" fillId="0" borderId="42" xfId="0" applyNumberFormat="1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62" fillId="0" borderId="7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81" fillId="0" borderId="71" xfId="0" applyFont="1" applyBorder="1" applyAlignment="1">
      <alignment horizontal="center" vertical="center" wrapText="1"/>
    </xf>
    <xf numFmtId="0" fontId="0" fillId="2" borderId="21" xfId="0" applyFill="1" applyBorder="1"/>
    <xf numFmtId="0" fontId="77" fillId="2" borderId="22" xfId="0" applyFont="1" applyFill="1" applyBorder="1"/>
    <xf numFmtId="0" fontId="49" fillId="0" borderId="71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65" fillId="0" borderId="48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 wrapText="1"/>
    </xf>
    <xf numFmtId="0" fontId="40" fillId="2" borderId="21" xfId="0" quotePrefix="1" applyFont="1" applyFill="1" applyBorder="1" applyAlignment="1">
      <alignment horizontal="center" vertical="center"/>
    </xf>
    <xf numFmtId="0" fontId="27" fillId="2" borderId="21" xfId="0" applyFont="1" applyFill="1" applyBorder="1"/>
    <xf numFmtId="0" fontId="0" fillId="2" borderId="22" xfId="0" applyFill="1" applyBorder="1"/>
    <xf numFmtId="0" fontId="49" fillId="0" borderId="76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49" fillId="3" borderId="33" xfId="0" applyFont="1" applyFill="1" applyBorder="1" applyAlignment="1">
      <alignment horizontal="center" vertical="center"/>
    </xf>
    <xf numFmtId="1" fontId="9" fillId="0" borderId="70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166" fontId="87" fillId="0" borderId="26" xfId="2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166" fontId="22" fillId="0" borderId="60" xfId="2" applyNumberFormat="1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6" fontId="87" fillId="0" borderId="77" xfId="2" applyNumberFormat="1" applyFont="1" applyBorder="1" applyAlignment="1">
      <alignment horizontal="right"/>
    </xf>
    <xf numFmtId="0" fontId="0" fillId="3" borderId="17" xfId="0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6" fontId="87" fillId="0" borderId="8" xfId="2" applyNumberFormat="1" applyFont="1" applyBorder="1" applyAlignment="1">
      <alignment horizontal="right"/>
    </xf>
    <xf numFmtId="0" fontId="11" fillId="3" borderId="2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78" fillId="0" borderId="35" xfId="0" applyFont="1" applyBorder="1" applyAlignment="1">
      <alignment horizontal="center" vertical="center" wrapText="1"/>
    </xf>
    <xf numFmtId="1" fontId="12" fillId="0" borderId="60" xfId="0" applyNumberFormat="1" applyFont="1" applyBorder="1" applyAlignment="1">
      <alignment horizontal="center" vertical="center"/>
    </xf>
    <xf numFmtId="1" fontId="35" fillId="0" borderId="60" xfId="0" applyNumberFormat="1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12" fillId="0" borderId="63" xfId="0" applyNumberFormat="1" applyFont="1" applyBorder="1" applyAlignment="1">
      <alignment horizontal="right"/>
    </xf>
    <xf numFmtId="1" fontId="35" fillId="0" borderId="63" xfId="0" applyNumberFormat="1" applyFont="1" applyBorder="1" applyAlignment="1">
      <alignment horizontal="right"/>
    </xf>
    <xf numFmtId="1" fontId="21" fillId="0" borderId="64" xfId="0" applyNumberFormat="1" applyFont="1" applyBorder="1" applyAlignment="1">
      <alignment horizontal="right"/>
    </xf>
    <xf numFmtId="1" fontId="30" fillId="0" borderId="13" xfId="0" applyNumberFormat="1" applyFont="1" applyBorder="1" applyAlignment="1">
      <alignment horizontal="right" vertical="center"/>
    </xf>
    <xf numFmtId="166" fontId="87" fillId="0" borderId="15" xfId="2" applyNumberFormat="1" applyFont="1" applyBorder="1" applyAlignment="1">
      <alignment horizontal="right"/>
    </xf>
    <xf numFmtId="1" fontId="9" fillId="0" borderId="15" xfId="0" applyNumberFormat="1" applyFont="1" applyBorder="1" applyAlignment="1">
      <alignment horizontal="right" vertical="center"/>
    </xf>
    <xf numFmtId="1" fontId="12" fillId="0" borderId="15" xfId="0" applyNumberFormat="1" applyFont="1" applyBorder="1" applyAlignment="1">
      <alignment horizontal="right" vertical="center"/>
    </xf>
    <xf numFmtId="1" fontId="9" fillId="3" borderId="15" xfId="0" applyNumberFormat="1" applyFont="1" applyFill="1" applyBorder="1" applyAlignment="1">
      <alignment horizontal="right" vertical="center"/>
    </xf>
    <xf numFmtId="1" fontId="9" fillId="0" borderId="61" xfId="0" applyNumberFormat="1" applyFont="1" applyBorder="1" applyAlignment="1">
      <alignment horizontal="right" vertical="center"/>
    </xf>
    <xf numFmtId="1" fontId="3" fillId="3" borderId="41" xfId="0" applyNumberFormat="1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6" fillId="3" borderId="63" xfId="0" applyFont="1" applyFill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0" fontId="49" fillId="0" borderId="73" xfId="0" applyFont="1" applyBorder="1" applyAlignment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2" fillId="0" borderId="42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/>
    </xf>
    <xf numFmtId="1" fontId="8" fillId="0" borderId="7" xfId="0" applyNumberFormat="1" applyFont="1" applyBorder="1" applyAlignment="1">
      <alignment horizontal="center" vertical="center"/>
    </xf>
    <xf numFmtId="1" fontId="30" fillId="0" borderId="7" xfId="0" applyNumberFormat="1" applyFont="1" applyBorder="1" applyAlignment="1">
      <alignment horizontal="center" vertical="center"/>
    </xf>
    <xf numFmtId="1" fontId="29" fillId="0" borderId="49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1" fontId="26" fillId="0" borderId="80" xfId="0" applyNumberFormat="1" applyFont="1" applyBorder="1" applyAlignment="1">
      <alignment horizontal="center" vertical="center"/>
    </xf>
    <xf numFmtId="1" fontId="10" fillId="0" borderId="71" xfId="0" applyNumberFormat="1" applyFont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0" fontId="50" fillId="0" borderId="76" xfId="0" applyFont="1" applyBorder="1" applyAlignment="1">
      <alignment horizontal="center" vertical="center"/>
    </xf>
    <xf numFmtId="0" fontId="83" fillId="0" borderId="35" xfId="0" applyFont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84" fillId="0" borderId="61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85" fillId="0" borderId="77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60" fillId="0" borderId="5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41" fillId="0" borderId="60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60" fillId="0" borderId="56" xfId="0" applyFont="1" applyBorder="1" applyAlignment="1">
      <alignment horizontal="center" vertical="center"/>
    </xf>
    <xf numFmtId="0" fontId="60" fillId="0" borderId="47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0" fontId="94" fillId="2" borderId="3" xfId="0" applyFont="1" applyFill="1" applyBorder="1" applyAlignment="1">
      <alignment horizontal="center" vertical="center"/>
    </xf>
    <xf numFmtId="166" fontId="87" fillId="0" borderId="12" xfId="2" applyNumberFormat="1" applyFont="1" applyBorder="1" applyAlignment="1">
      <alignment horizontal="right"/>
    </xf>
    <xf numFmtId="0" fontId="12" fillId="0" borderId="12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165" fontId="26" fillId="0" borderId="30" xfId="0" applyNumberFormat="1" applyFont="1" applyBorder="1" applyAlignment="1">
      <alignment horizontal="center" vertical="center"/>
    </xf>
    <xf numFmtId="166" fontId="87" fillId="0" borderId="63" xfId="2" applyNumberFormat="1" applyFont="1" applyBorder="1" applyAlignment="1"/>
    <xf numFmtId="1" fontId="89" fillId="0" borderId="5" xfId="0" applyNumberFormat="1" applyFont="1" applyBorder="1" applyAlignment="1"/>
    <xf numFmtId="165" fontId="26" fillId="0" borderId="56" xfId="0" applyNumberFormat="1" applyFont="1" applyBorder="1" applyAlignment="1">
      <alignment horizontal="center" vertical="center"/>
    </xf>
    <xf numFmtId="1" fontId="0" fillId="0" borderId="17" xfId="0" applyNumberFormat="1" applyBorder="1" applyAlignment="1"/>
    <xf numFmtId="1" fontId="8" fillId="0" borderId="17" xfId="0" applyNumberFormat="1" applyFont="1" applyBorder="1" applyAlignment="1"/>
    <xf numFmtId="1" fontId="30" fillId="0" borderId="18" xfId="0" applyNumberFormat="1" applyFont="1" applyBorder="1" applyAlignment="1"/>
    <xf numFmtId="1" fontId="10" fillId="3" borderId="20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" fontId="11" fillId="3" borderId="80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49" xfId="0" applyNumberFormat="1" applyFont="1" applyFill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" fontId="26" fillId="0" borderId="2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5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6" fontId="47" fillId="0" borderId="20" xfId="0" applyNumberFormat="1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/>
    <xf numFmtId="0" fontId="3" fillId="0" borderId="1" xfId="0" applyFont="1" applyBorder="1"/>
    <xf numFmtId="165" fontId="26" fillId="0" borderId="72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166" fontId="87" fillId="0" borderId="12" xfId="2" applyNumberFormat="1" applyFont="1" applyBorder="1" applyAlignment="1"/>
    <xf numFmtId="166" fontId="87" fillId="0" borderId="13" xfId="2" applyNumberFormat="1" applyFont="1" applyBorder="1" applyAlignment="1"/>
    <xf numFmtId="1" fontId="90" fillId="0" borderId="26" xfId="0" applyNumberFormat="1" applyFont="1" applyBorder="1" applyAlignment="1">
      <alignment vertical="center"/>
    </xf>
    <xf numFmtId="1" fontId="88" fillId="0" borderId="26" xfId="0" applyNumberFormat="1" applyFont="1" applyBorder="1" applyAlignment="1">
      <alignment vertical="center"/>
    </xf>
    <xf numFmtId="1" fontId="89" fillId="0" borderId="27" xfId="0" applyNumberFormat="1" applyFont="1" applyBorder="1" applyAlignment="1">
      <alignment vertical="center"/>
    </xf>
    <xf numFmtId="1" fontId="90" fillId="0" borderId="1" xfId="0" applyNumberFormat="1" applyFont="1" applyBorder="1" applyAlignment="1">
      <alignment vertical="center"/>
    </xf>
    <xf numFmtId="1" fontId="88" fillId="0" borderId="1" xfId="0" applyNumberFormat="1" applyFont="1" applyBorder="1" applyAlignment="1">
      <alignment vertical="center"/>
    </xf>
    <xf numFmtId="1" fontId="89" fillId="0" borderId="15" xfId="0" applyNumberFormat="1" applyFont="1" applyBorder="1" applyAlignment="1">
      <alignment vertical="center"/>
    </xf>
    <xf numFmtId="1" fontId="90" fillId="0" borderId="63" xfId="0" applyNumberFormat="1" applyFont="1" applyBorder="1" applyAlignment="1">
      <alignment vertical="center"/>
    </xf>
    <xf numFmtId="1" fontId="88" fillId="0" borderId="63" xfId="0" applyNumberFormat="1" applyFont="1" applyBorder="1" applyAlignment="1">
      <alignment vertical="center"/>
    </xf>
    <xf numFmtId="1" fontId="89" fillId="0" borderId="69" xfId="0" applyNumberFormat="1" applyFont="1" applyBorder="1" applyAlignment="1">
      <alignment vertical="center"/>
    </xf>
    <xf numFmtId="1" fontId="90" fillId="0" borderId="5" xfId="0" applyNumberFormat="1" applyFont="1" applyBorder="1" applyAlignment="1">
      <alignment vertical="center"/>
    </xf>
    <xf numFmtId="1" fontId="88" fillId="0" borderId="5" xfId="0" applyNumberFormat="1" applyFont="1" applyBorder="1" applyAlignment="1">
      <alignment vertical="center"/>
    </xf>
    <xf numFmtId="1" fontId="89" fillId="0" borderId="2" xfId="0" applyNumberFormat="1" applyFont="1" applyBorder="1" applyAlignment="1">
      <alignment vertical="center"/>
    </xf>
    <xf numFmtId="1" fontId="89" fillId="0" borderId="64" xfId="0" applyNumberFormat="1" applyFont="1" applyBorder="1" applyAlignment="1">
      <alignment vertical="center"/>
    </xf>
    <xf numFmtId="1" fontId="0" fillId="0" borderId="63" xfId="0" applyNumberFormat="1" applyBorder="1" applyAlignment="1">
      <alignment horizontal="right" vertical="center"/>
    </xf>
    <xf numFmtId="1" fontId="30" fillId="0" borderId="69" xfId="0" applyNumberFormat="1" applyFont="1" applyBorder="1" applyAlignment="1">
      <alignment horizontal="right" vertical="center"/>
    </xf>
    <xf numFmtId="1" fontId="30" fillId="0" borderId="2" xfId="0" applyNumberFormat="1" applyFont="1" applyBorder="1" applyAlignment="1">
      <alignment horizontal="right" vertical="center"/>
    </xf>
    <xf numFmtId="1" fontId="30" fillId="0" borderId="64" xfId="0" applyNumberFormat="1" applyFont="1" applyBorder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36" fillId="5" borderId="20" xfId="0" applyFont="1" applyFill="1" applyBorder="1" applyAlignment="1">
      <alignment horizontal="center" vertical="center"/>
    </xf>
    <xf numFmtId="0" fontId="36" fillId="5" borderId="21" xfId="0" applyFont="1" applyFill="1" applyBorder="1" applyAlignment="1">
      <alignment horizontal="center" vertical="center"/>
    </xf>
    <xf numFmtId="0" fontId="36" fillId="5" borderId="40" xfId="0" applyFont="1" applyFill="1" applyBorder="1" applyAlignment="1">
      <alignment horizontal="center" vertical="center"/>
    </xf>
    <xf numFmtId="0" fontId="36" fillId="5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9" fillId="5" borderId="48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92" fillId="5" borderId="48" xfId="0" applyFont="1" applyFill="1" applyBorder="1" applyAlignment="1">
      <alignment horizontal="center" vertical="center"/>
    </xf>
    <xf numFmtId="0" fontId="92" fillId="5" borderId="40" xfId="0" applyFont="1" applyFill="1" applyBorder="1" applyAlignment="1">
      <alignment horizontal="center" vertical="center"/>
    </xf>
    <xf numFmtId="0" fontId="92" fillId="5" borderId="51" xfId="0" applyFont="1" applyFill="1" applyBorder="1" applyAlignment="1">
      <alignment horizontal="center" vertical="center"/>
    </xf>
    <xf numFmtId="0" fontId="91" fillId="2" borderId="20" xfId="0" applyFont="1" applyFill="1" applyBorder="1" applyAlignment="1">
      <alignment horizontal="center" vertical="center"/>
    </xf>
    <xf numFmtId="0" fontId="91" fillId="2" borderId="21" xfId="0" applyFont="1" applyFill="1" applyBorder="1" applyAlignment="1">
      <alignment horizontal="center" vertical="center"/>
    </xf>
    <xf numFmtId="0" fontId="91" fillId="2" borderId="22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1" fontId="23" fillId="4" borderId="48" xfId="0" applyNumberFormat="1" applyFont="1" applyFill="1" applyBorder="1" applyAlignment="1">
      <alignment horizontal="center" vertical="center"/>
    </xf>
    <xf numFmtId="1" fontId="23" fillId="4" borderId="40" xfId="0" applyNumberFormat="1" applyFont="1" applyFill="1" applyBorder="1" applyAlignment="1">
      <alignment horizontal="center" vertical="center"/>
    </xf>
    <xf numFmtId="1" fontId="23" fillId="4" borderId="51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76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/>
    </xf>
    <xf numFmtId="1" fontId="19" fillId="5" borderId="20" xfId="0" applyNumberFormat="1" applyFont="1" applyFill="1" applyBorder="1" applyAlignment="1">
      <alignment horizontal="center" vertical="center"/>
    </xf>
    <xf numFmtId="1" fontId="19" fillId="5" borderId="21" xfId="0" applyNumberFormat="1" applyFont="1" applyFill="1" applyBorder="1" applyAlignment="1">
      <alignment horizontal="center" vertical="center"/>
    </xf>
    <xf numFmtId="1" fontId="19" fillId="5" borderId="22" xfId="0" applyNumberFormat="1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1" fontId="19" fillId="4" borderId="20" xfId="0" applyNumberFormat="1" applyFont="1" applyFill="1" applyBorder="1" applyAlignment="1">
      <alignment horizontal="center" vertical="center"/>
    </xf>
    <xf numFmtId="1" fontId="19" fillId="4" borderId="21" xfId="0" applyNumberFormat="1" applyFont="1" applyFill="1" applyBorder="1" applyAlignment="1">
      <alignment horizontal="center" vertical="center"/>
    </xf>
    <xf numFmtId="1" fontId="19" fillId="4" borderId="22" xfId="0" applyNumberFormat="1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1" fontId="19" fillId="4" borderId="48" xfId="0" applyNumberFormat="1" applyFont="1" applyFill="1" applyBorder="1" applyAlignment="1">
      <alignment horizontal="center" vertical="center"/>
    </xf>
    <xf numFmtId="1" fontId="19" fillId="4" borderId="40" xfId="0" applyNumberFormat="1" applyFont="1" applyFill="1" applyBorder="1" applyAlignment="1">
      <alignment horizontal="center" vertical="center"/>
    </xf>
    <xf numFmtId="1" fontId="19" fillId="4" borderId="51" xfId="0" applyNumberFormat="1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1" fontId="23" fillId="4" borderId="21" xfId="0" applyNumberFormat="1" applyFont="1" applyFill="1" applyBorder="1" applyAlignment="1">
      <alignment horizontal="center" vertical="center"/>
    </xf>
    <xf numFmtId="1" fontId="23" fillId="4" borderId="22" xfId="0" applyNumberFormat="1" applyFont="1" applyFill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/>
    </xf>
    <xf numFmtId="0" fontId="46" fillId="2" borderId="20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56" fillId="0" borderId="40" xfId="0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72" fillId="3" borderId="0" xfId="0" applyFont="1" applyFill="1" applyBorder="1" applyAlignment="1">
      <alignment horizontal="right" vertical="center"/>
    </xf>
    <xf numFmtId="0" fontId="73" fillId="3" borderId="0" xfId="0" applyFont="1" applyFill="1" applyBorder="1" applyAlignment="1">
      <alignment horizontal="center" vertical="center" wrapText="1"/>
    </xf>
    <xf numFmtId="0" fontId="7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70" fillId="3" borderId="0" xfId="0" applyFont="1" applyFill="1" applyBorder="1" applyAlignment="1">
      <alignment horizontal="center" vertical="center"/>
    </xf>
    <xf numFmtId="0" fontId="60" fillId="3" borderId="0" xfId="0" applyFont="1" applyFill="1" applyBorder="1" applyAlignment="1">
      <alignment horizontal="center" vertical="center"/>
    </xf>
    <xf numFmtId="0" fontId="71" fillId="3" borderId="0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166" fontId="87" fillId="0" borderId="45" xfId="2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21" fillId="0" borderId="46" xfId="0" applyFont="1" applyBorder="1" applyAlignment="1">
      <alignment horizontal="right" vertical="center"/>
    </xf>
    <xf numFmtId="1" fontId="29" fillId="0" borderId="56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1" fontId="29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=@counta(C6:C18)" TargetMode="External"/><Relationship Id="rId1" Type="http://schemas.openxmlformats.org/officeDocument/2006/relationships/hyperlink" Target="mailto:=@counta(C6:C18)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0"/>
  <sheetViews>
    <sheetView workbookViewId="0">
      <selection activeCell="G22" sqref="G22"/>
    </sheetView>
  </sheetViews>
  <sheetFormatPr defaultRowHeight="15" x14ac:dyDescent="0.25"/>
  <cols>
    <col min="1" max="1" width="6.140625" customWidth="1"/>
    <col min="3" max="3" width="21" customWidth="1"/>
    <col min="6" max="6" width="0" hidden="1" customWidth="1"/>
    <col min="7" max="7" width="6.5703125" customWidth="1"/>
    <col min="8" max="8" width="6.85546875" customWidth="1"/>
    <col min="9" max="9" width="7.28515625" customWidth="1"/>
    <col min="10" max="11" width="7.85546875" customWidth="1"/>
    <col min="12" max="12" width="9.140625" customWidth="1"/>
    <col min="13" max="13" width="7.28515625" hidden="1" customWidth="1"/>
    <col min="19" max="19" width="0.85546875" customWidth="1"/>
  </cols>
  <sheetData>
    <row r="1" spans="1:22" ht="24" thickBot="1" x14ac:dyDescent="0.3">
      <c r="A1" s="1587" t="s">
        <v>206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9"/>
    </row>
    <row r="2" spans="1:22" ht="16.5" thickBot="1" x14ac:dyDescent="0.3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4"/>
      <c r="P2" s="10"/>
      <c r="Q2" s="3"/>
      <c r="R2" s="3"/>
      <c r="S2" s="3"/>
    </row>
    <row r="3" spans="1:22" ht="24" thickBot="1" x14ac:dyDescent="0.3">
      <c r="A3" s="11"/>
      <c r="B3" s="1590" t="s">
        <v>155</v>
      </c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1591"/>
      <c r="P3" s="1591"/>
      <c r="Q3" s="1591"/>
      <c r="R3" s="1591"/>
      <c r="S3" s="1592"/>
      <c r="U3" s="1604"/>
      <c r="V3" s="1604"/>
    </row>
    <row r="4" spans="1:22" ht="16.5" thickBot="1" x14ac:dyDescent="0.3">
      <c r="A4" s="3"/>
      <c r="B4" s="5"/>
      <c r="C4" s="5"/>
      <c r="D4" s="12"/>
      <c r="E4" s="6"/>
      <c r="F4" s="13"/>
      <c r="G4" s="3"/>
      <c r="H4" s="3"/>
      <c r="I4" s="3"/>
      <c r="J4" s="3"/>
      <c r="K4" s="3"/>
      <c r="L4" s="3"/>
      <c r="M4" s="14"/>
      <c r="N4" s="3"/>
      <c r="O4" s="3"/>
      <c r="P4" s="3"/>
      <c r="Q4" s="3"/>
      <c r="R4" s="3"/>
      <c r="S4" s="3"/>
      <c r="U4" s="498"/>
      <c r="V4" s="498"/>
    </row>
    <row r="5" spans="1:22" ht="24.75" customHeight="1" thickBot="1" x14ac:dyDescent="0.3">
      <c r="A5" s="3"/>
      <c r="B5" s="1601" t="s">
        <v>16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2"/>
      <c r="R5" s="1603"/>
      <c r="S5" s="3"/>
      <c r="U5" s="499"/>
      <c r="V5" s="500"/>
    </row>
    <row r="6" spans="1:22" ht="32.25" thickBot="1" x14ac:dyDescent="0.3">
      <c r="A6" s="3"/>
      <c r="B6" s="126" t="s">
        <v>157</v>
      </c>
      <c r="C6" s="68" t="s">
        <v>18</v>
      </c>
      <c r="D6" s="556" t="s">
        <v>19</v>
      </c>
      <c r="E6" s="862" t="s">
        <v>20</v>
      </c>
      <c r="F6" s="501"/>
      <c r="G6" s="481" t="s">
        <v>21</v>
      </c>
      <c r="H6" s="470">
        <v>10</v>
      </c>
      <c r="I6" s="470">
        <v>9</v>
      </c>
      <c r="J6" s="470">
        <v>8</v>
      </c>
      <c r="K6" s="470">
        <v>7</v>
      </c>
      <c r="L6" s="819">
        <v>0</v>
      </c>
      <c r="M6" s="21"/>
      <c r="N6" s="820" t="s">
        <v>22</v>
      </c>
      <c r="O6" s="22" t="s">
        <v>23</v>
      </c>
      <c r="P6" s="123" t="s">
        <v>24</v>
      </c>
      <c r="Q6" s="126" t="s">
        <v>25</v>
      </c>
      <c r="R6" s="82" t="s">
        <v>26</v>
      </c>
      <c r="S6" s="3"/>
      <c r="U6" s="499"/>
      <c r="V6" s="500"/>
    </row>
    <row r="7" spans="1:22" ht="15.75" x14ac:dyDescent="0.25">
      <c r="A7" s="25" t="s">
        <v>27</v>
      </c>
      <c r="B7" s="274">
        <v>1786</v>
      </c>
      <c r="C7" s="745" t="s">
        <v>28</v>
      </c>
      <c r="D7" s="1397" t="s">
        <v>12</v>
      </c>
      <c r="E7" s="1408" t="s">
        <v>3</v>
      </c>
      <c r="F7" s="1409"/>
      <c r="G7" s="969">
        <v>49</v>
      </c>
      <c r="H7" s="970">
        <v>56</v>
      </c>
      <c r="I7" s="970">
        <v>42</v>
      </c>
      <c r="J7" s="970">
        <v>3</v>
      </c>
      <c r="K7" s="970">
        <v>0</v>
      </c>
      <c r="L7" s="1410">
        <v>0</v>
      </c>
      <c r="M7" s="1411"/>
      <c r="N7" s="1412">
        <f>(G7*10)+(H7*10)+(I7*9)+(J7*8)+(K7*7)+(L7*0)</f>
        <v>1452</v>
      </c>
      <c r="O7" s="43">
        <f>SUM(G7:M7)</f>
        <v>150</v>
      </c>
      <c r="P7" s="44" t="str">
        <f>IF(N7&gt;1475,"Yes","NO")</f>
        <v>NO</v>
      </c>
      <c r="Q7" s="42"/>
      <c r="R7" s="577"/>
      <c r="S7" s="3"/>
      <c r="U7" s="499"/>
      <c r="V7" s="500"/>
    </row>
    <row r="8" spans="1:22" ht="16.5" thickBot="1" x14ac:dyDescent="0.3">
      <c r="A8" s="25" t="s">
        <v>27</v>
      </c>
      <c r="B8" s="778">
        <v>1475</v>
      </c>
      <c r="C8" s="777" t="s">
        <v>30</v>
      </c>
      <c r="D8" s="1402" t="s">
        <v>10</v>
      </c>
      <c r="E8" s="829" t="s">
        <v>3</v>
      </c>
      <c r="F8" s="833"/>
      <c r="G8" s="502">
        <v>58</v>
      </c>
      <c r="H8" s="503">
        <v>36</v>
      </c>
      <c r="I8" s="503">
        <v>47</v>
      </c>
      <c r="J8" s="503">
        <v>8</v>
      </c>
      <c r="K8" s="503">
        <v>1</v>
      </c>
      <c r="L8" s="1406"/>
      <c r="M8" s="1403"/>
      <c r="N8" s="1404">
        <f>(G8*10)+(H8*10)+(I8*9)+(J8*8)+(K8*7)+(L8*0)</f>
        <v>1434</v>
      </c>
      <c r="O8" s="833">
        <f>SUM(G8:M8)</f>
        <v>150</v>
      </c>
      <c r="P8" s="1405" t="str">
        <f>IF(N8&gt;1475,"Yes","NO")</f>
        <v>NO</v>
      </c>
      <c r="Q8" s="1404"/>
      <c r="R8" s="577"/>
      <c r="S8" s="3"/>
      <c r="U8" s="499"/>
      <c r="V8" s="500"/>
    </row>
    <row r="9" spans="1:22" ht="16.5" thickBot="1" x14ac:dyDescent="0.3">
      <c r="A9" s="25" t="s">
        <v>27</v>
      </c>
      <c r="B9" s="123">
        <v>1465</v>
      </c>
      <c r="C9" s="1413" t="s">
        <v>276</v>
      </c>
      <c r="D9" s="1414" t="s">
        <v>12</v>
      </c>
      <c r="E9" s="312" t="s">
        <v>277</v>
      </c>
      <c r="F9" s="68"/>
      <c r="G9" s="1415">
        <v>40</v>
      </c>
      <c r="H9" s="1416">
        <v>33</v>
      </c>
      <c r="I9" s="1416">
        <v>51</v>
      </c>
      <c r="J9" s="1416">
        <v>19</v>
      </c>
      <c r="K9" s="1416">
        <v>7</v>
      </c>
      <c r="L9" s="1417"/>
      <c r="M9" s="1386"/>
      <c r="N9" s="820">
        <f>(G9*10)+(H9*10)+(I9*9)+(J9*8)+(K9*7)+(L9*0)</f>
        <v>1390</v>
      </c>
      <c r="O9" s="1418">
        <f>SUM(G9:M9)</f>
        <v>150</v>
      </c>
      <c r="P9" s="1419" t="str">
        <f t="shared" ref="P9" si="0">IF(N9&gt;1475,"Yes","NO")</f>
        <v>NO</v>
      </c>
      <c r="Q9" s="1420" t="str">
        <f t="shared" ref="Q9" si="1">IF(P9="yes","HM","")</f>
        <v/>
      </c>
      <c r="R9" s="948" t="str">
        <f t="shared" ref="R9" si="2">IF(N9=0," ",IF(O9&lt;&gt;150,"ERROR!"," "))</f>
        <v xml:space="preserve"> </v>
      </c>
      <c r="S9" s="3"/>
    </row>
    <row r="10" spans="1:22" ht="16.5" thickBot="1" x14ac:dyDescent="0.3">
      <c r="A10" s="3"/>
      <c r="B10" s="77">
        <f>COUNT(B7:B9)</f>
        <v>3</v>
      </c>
      <c r="C10" s="1593" t="s">
        <v>34</v>
      </c>
      <c r="D10" s="1594"/>
      <c r="E10" s="1595" t="s">
        <v>35</v>
      </c>
      <c r="F10" s="1596"/>
      <c r="G10" s="1596"/>
      <c r="H10" s="1596"/>
      <c r="I10" s="1596"/>
      <c r="J10" s="1596"/>
      <c r="K10" s="1596"/>
      <c r="L10" s="1596"/>
      <c r="M10" s="1596"/>
      <c r="N10" s="1596"/>
      <c r="O10" s="1596"/>
      <c r="P10" s="1596"/>
      <c r="Q10" s="1597"/>
      <c r="R10" s="3"/>
      <c r="S10" s="3"/>
    </row>
    <row r="12" spans="1:22" ht="16.5" thickBot="1" x14ac:dyDescent="0.3">
      <c r="A12" s="3"/>
      <c r="B12" s="5"/>
      <c r="C12" s="5"/>
      <c r="D12" s="12"/>
      <c r="E12" s="6"/>
      <c r="F12" s="13"/>
      <c r="G12" s="3"/>
      <c r="H12" s="3"/>
      <c r="I12" s="3"/>
      <c r="J12" s="3"/>
      <c r="K12" s="3"/>
      <c r="L12" s="3"/>
      <c r="M12" s="14"/>
      <c r="N12" s="3"/>
      <c r="O12" s="3"/>
      <c r="P12" s="3"/>
      <c r="Q12" s="3"/>
      <c r="R12" s="3"/>
      <c r="S12" s="3"/>
    </row>
    <row r="13" spans="1:22" ht="27" thickBot="1" x14ac:dyDescent="0.3">
      <c r="A13" s="78"/>
      <c r="B13" s="1601" t="s">
        <v>36</v>
      </c>
      <c r="C13" s="1602"/>
      <c r="D13" s="1602"/>
      <c r="E13" s="1602"/>
      <c r="F13" s="1602"/>
      <c r="G13" s="1602"/>
      <c r="H13" s="1602"/>
      <c r="I13" s="1602"/>
      <c r="J13" s="1602"/>
      <c r="K13" s="1602"/>
      <c r="L13" s="1602"/>
      <c r="M13" s="1602"/>
      <c r="N13" s="1602"/>
      <c r="O13" s="1602"/>
      <c r="P13" s="1602"/>
      <c r="Q13" s="1602"/>
      <c r="R13" s="1603"/>
      <c r="S13" s="78"/>
    </row>
    <row r="14" spans="1:22" ht="32.25" thickBot="1" x14ac:dyDescent="0.3">
      <c r="A14" s="3"/>
      <c r="B14" s="15" t="s">
        <v>157</v>
      </c>
      <c r="C14" s="16" t="s">
        <v>18</v>
      </c>
      <c r="D14" s="17" t="s">
        <v>19</v>
      </c>
      <c r="E14" s="79" t="s">
        <v>20</v>
      </c>
      <c r="F14" s="501"/>
      <c r="G14" s="823" t="s">
        <v>21</v>
      </c>
      <c r="H14" s="80">
        <v>10</v>
      </c>
      <c r="I14" s="80">
        <v>9</v>
      </c>
      <c r="J14" s="80">
        <v>8</v>
      </c>
      <c r="K14" s="80">
        <v>7</v>
      </c>
      <c r="L14" s="20">
        <v>0</v>
      </c>
      <c r="M14" s="830">
        <v>0</v>
      </c>
      <c r="N14" s="820" t="s">
        <v>22</v>
      </c>
      <c r="O14" s="858" t="s">
        <v>23</v>
      </c>
      <c r="P14" s="23" t="s">
        <v>24</v>
      </c>
      <c r="Q14" s="15" t="s">
        <v>25</v>
      </c>
      <c r="R14" s="24" t="s">
        <v>26</v>
      </c>
      <c r="S14" s="3"/>
    </row>
    <row r="15" spans="1:22" ht="16.5" thickBot="1" x14ac:dyDescent="0.3">
      <c r="A15" s="25" t="s">
        <v>37</v>
      </c>
      <c r="B15" s="868">
        <v>786</v>
      </c>
      <c r="C15" s="1382" t="s">
        <v>29</v>
      </c>
      <c r="D15" s="1383" t="s">
        <v>10</v>
      </c>
      <c r="E15" s="312" t="s">
        <v>3</v>
      </c>
      <c r="F15" s="1421"/>
      <c r="G15" s="1415">
        <v>44</v>
      </c>
      <c r="H15" s="1416">
        <v>41</v>
      </c>
      <c r="I15" s="1416">
        <v>59</v>
      </c>
      <c r="J15" s="1416">
        <v>5</v>
      </c>
      <c r="K15" s="1416">
        <v>1</v>
      </c>
      <c r="L15" s="480"/>
      <c r="M15" s="1386"/>
      <c r="N15" s="820">
        <f t="shared" ref="N15" si="3">(G15*10)+(H15*10)+(I15*9)+(J15*8)+(K15*7)+(L15*0)</f>
        <v>1428</v>
      </c>
      <c r="O15" s="1384">
        <f t="shared" ref="O15" si="4">SUM(G15:M15)</f>
        <v>150</v>
      </c>
      <c r="P15" s="480"/>
      <c r="Q15" s="824"/>
      <c r="R15" s="1062"/>
      <c r="S15" s="3"/>
    </row>
    <row r="16" spans="1:22" ht="15.75" x14ac:dyDescent="0.25">
      <c r="A16" s="25" t="s">
        <v>37</v>
      </c>
      <c r="B16" s="620">
        <v>1475</v>
      </c>
      <c r="C16" s="1422" t="s">
        <v>30</v>
      </c>
      <c r="D16" s="1423" t="s">
        <v>10</v>
      </c>
      <c r="E16" s="191" t="s">
        <v>4</v>
      </c>
      <c r="F16" s="16"/>
      <c r="G16" s="1140">
        <v>46</v>
      </c>
      <c r="H16" s="1140">
        <v>50</v>
      </c>
      <c r="I16" s="1140">
        <v>45</v>
      </c>
      <c r="J16" s="1140">
        <v>9</v>
      </c>
      <c r="K16" s="1140"/>
      <c r="L16" s="1140"/>
      <c r="M16" s="1424"/>
      <c r="N16" s="21">
        <f>(G16*10)+(H16*10)+(I16*9)+(J16*8)+(K16*7)+(L16*0)</f>
        <v>1437</v>
      </c>
      <c r="O16" s="1425">
        <f>SUM(G16:M16)</f>
        <v>150</v>
      </c>
      <c r="P16" s="1387" t="s">
        <v>204</v>
      </c>
      <c r="Q16" s="579"/>
      <c r="R16" s="615"/>
      <c r="S16" s="3"/>
    </row>
    <row r="17" spans="1:19" ht="16.5" thickBot="1" x14ac:dyDescent="0.3">
      <c r="A17" s="25" t="s">
        <v>37</v>
      </c>
      <c r="B17" s="547">
        <v>1809</v>
      </c>
      <c r="C17" s="589" t="s">
        <v>39</v>
      </c>
      <c r="D17" s="827" t="s">
        <v>8</v>
      </c>
      <c r="E17" s="590" t="s">
        <v>4</v>
      </c>
      <c r="F17" s="1426">
        <v>2</v>
      </c>
      <c r="G17" s="1407">
        <v>24</v>
      </c>
      <c r="H17" s="1407">
        <v>24</v>
      </c>
      <c r="I17" s="1407">
        <v>51</v>
      </c>
      <c r="J17" s="1407">
        <v>35</v>
      </c>
      <c r="K17" s="1407">
        <v>11</v>
      </c>
      <c r="L17" s="1407">
        <v>5</v>
      </c>
      <c r="M17" s="1427"/>
      <c r="N17" s="59">
        <f>(G17*10)+(H17*10)+(I17*9)+(J17*8)+(K17*7)+(L17*0)</f>
        <v>1296</v>
      </c>
      <c r="O17" s="131">
        <f t="shared" ref="O17" si="5">SUM(G17:M17)</f>
        <v>150</v>
      </c>
      <c r="P17" s="519" t="str">
        <f t="shared" ref="P17" si="6">IF(N17&gt;1379,"Yes","NO")</f>
        <v>NO</v>
      </c>
      <c r="Q17" s="52"/>
      <c r="R17" s="112"/>
      <c r="S17" s="3"/>
    </row>
    <row r="18" spans="1:19" ht="15.75" x14ac:dyDescent="0.25">
      <c r="A18" s="25" t="s">
        <v>37</v>
      </c>
      <c r="B18" s="825">
        <v>2138</v>
      </c>
      <c r="C18" s="588" t="s">
        <v>268</v>
      </c>
      <c r="D18" s="826" t="s">
        <v>8</v>
      </c>
      <c r="E18" s="645" t="s">
        <v>5</v>
      </c>
      <c r="F18" s="32">
        <v>2</v>
      </c>
      <c r="G18" s="30">
        <v>24</v>
      </c>
      <c r="H18" s="30">
        <v>33</v>
      </c>
      <c r="I18" s="30">
        <v>52</v>
      </c>
      <c r="J18" s="30">
        <v>20</v>
      </c>
      <c r="K18" s="30">
        <v>11</v>
      </c>
      <c r="L18" s="30">
        <v>10</v>
      </c>
      <c r="M18" s="84"/>
      <c r="N18" s="31">
        <f>(G18*10)+(H18*10)+(I18*9)+(J18*8)+(K18*7)+(L18*0)</f>
        <v>1275</v>
      </c>
      <c r="O18" s="130">
        <f t="shared" ref="O18" si="7">SUM(G18:M18)</f>
        <v>150</v>
      </c>
      <c r="P18" s="1387" t="str">
        <f t="shared" ref="P18" si="8">IF(N18&gt;1379,"Yes","NO")</f>
        <v>NO</v>
      </c>
      <c r="Q18" s="52"/>
      <c r="R18" s="112"/>
      <c r="S18" s="3"/>
    </row>
    <row r="19" spans="1:19" ht="16.5" thickBot="1" x14ac:dyDescent="0.3">
      <c r="A19" s="25" t="s">
        <v>37</v>
      </c>
      <c r="B19" s="842">
        <v>1982</v>
      </c>
      <c r="C19" s="1428" t="s">
        <v>73</v>
      </c>
      <c r="D19" s="1429" t="s">
        <v>12</v>
      </c>
      <c r="E19" s="843" t="s">
        <v>5</v>
      </c>
      <c r="F19" s="1426"/>
      <c r="G19" s="1334">
        <v>18</v>
      </c>
      <c r="H19" s="1334">
        <v>30</v>
      </c>
      <c r="I19" s="1334">
        <v>43</v>
      </c>
      <c r="J19" s="1334">
        <v>19</v>
      </c>
      <c r="K19" s="1334">
        <v>17</v>
      </c>
      <c r="L19" s="1334">
        <v>23</v>
      </c>
      <c r="M19" s="1379"/>
      <c r="N19" s="578">
        <f>(G19*10)+(H19*10)+(I19*9)+(J19*8)+(K19*7)+(L19*0)</f>
        <v>1138</v>
      </c>
      <c r="O19" s="1430">
        <f t="shared" ref="O19" si="9">SUM(G19:M19)</f>
        <v>150</v>
      </c>
      <c r="P19" s="519" t="str">
        <f t="shared" ref="P19" si="10">IF(N19&gt;1379,"Yes","NO")</f>
        <v>NO</v>
      </c>
      <c r="Q19" s="922"/>
      <c r="R19" s="616"/>
      <c r="S19" s="3"/>
    </row>
    <row r="20" spans="1:19" ht="19.5" thickBot="1" x14ac:dyDescent="0.3">
      <c r="A20" s="3"/>
      <c r="B20" s="77">
        <f>COUNT(B16:B19)</f>
        <v>4</v>
      </c>
      <c r="C20" s="1598" t="s">
        <v>34</v>
      </c>
      <c r="D20" s="1599"/>
      <c r="E20" s="1593" t="s">
        <v>35</v>
      </c>
      <c r="F20" s="1594"/>
      <c r="G20" s="1594"/>
      <c r="H20" s="1594"/>
      <c r="I20" s="1594"/>
      <c r="J20" s="1594"/>
      <c r="K20" s="1594"/>
      <c r="L20" s="1594"/>
      <c r="M20" s="1594"/>
      <c r="N20" s="1594"/>
      <c r="O20" s="1594"/>
      <c r="P20" s="1594"/>
      <c r="Q20" s="1600"/>
      <c r="R20" s="3"/>
      <c r="S20" s="3"/>
    </row>
  </sheetData>
  <sortState ref="B18:N19">
    <sortCondition descending="1" ref="N18"/>
  </sortState>
  <mergeCells count="9">
    <mergeCell ref="U3:V3"/>
    <mergeCell ref="B13:R13"/>
    <mergeCell ref="A1:S1"/>
    <mergeCell ref="B3:S3"/>
    <mergeCell ref="C10:D10"/>
    <mergeCell ref="E10:Q10"/>
    <mergeCell ref="C20:D20"/>
    <mergeCell ref="E20:Q20"/>
    <mergeCell ref="B5:R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0"/>
  <sheetViews>
    <sheetView tabSelected="1" topLeftCell="B1" workbookViewId="0">
      <selection activeCell="Q13" sqref="Q13"/>
    </sheetView>
  </sheetViews>
  <sheetFormatPr defaultRowHeight="15" x14ac:dyDescent="0.25"/>
  <cols>
    <col min="1" max="1" width="3" hidden="1" customWidth="1"/>
    <col min="2" max="2" width="6" customWidth="1"/>
    <col min="4" max="4" width="22" customWidth="1"/>
    <col min="20" max="20" width="0.42578125" customWidth="1"/>
    <col min="21" max="21" width="1.85546875" customWidth="1"/>
  </cols>
  <sheetData>
    <row r="1" spans="1:21" ht="24" thickBot="1" x14ac:dyDescent="0.3">
      <c r="C1" s="1587" t="s">
        <v>206</v>
      </c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9"/>
    </row>
    <row r="3" spans="1:21" ht="15.75" thickBot="1" x14ac:dyDescent="0.3"/>
    <row r="4" spans="1:21" ht="27" thickBot="1" x14ac:dyDescent="0.3">
      <c r="A4" s="3"/>
      <c r="B4" s="769"/>
      <c r="C4" s="610"/>
      <c r="D4" s="1601" t="s">
        <v>187</v>
      </c>
      <c r="E4" s="1602"/>
      <c r="F4" s="1602"/>
      <c r="G4" s="1602"/>
      <c r="H4" s="1630"/>
      <c r="I4" s="1630"/>
      <c r="J4" s="1630"/>
      <c r="K4" s="1630"/>
      <c r="L4" s="1630"/>
      <c r="M4" s="1631"/>
      <c r="N4" s="3"/>
      <c r="O4" s="3"/>
      <c r="P4" s="3"/>
      <c r="Q4" s="3"/>
      <c r="R4" s="3"/>
      <c r="S4" s="3"/>
    </row>
    <row r="5" spans="1:21" ht="32.25" thickBot="1" x14ac:dyDescent="0.3">
      <c r="A5" s="3"/>
      <c r="B5" s="769"/>
      <c r="C5" s="770" t="s">
        <v>17</v>
      </c>
      <c r="D5" s="16" t="s">
        <v>18</v>
      </c>
      <c r="E5" s="17" t="s">
        <v>19</v>
      </c>
      <c r="F5" s="79" t="s">
        <v>20</v>
      </c>
      <c r="G5" s="94" t="s">
        <v>21</v>
      </c>
      <c r="H5" s="823">
        <v>10</v>
      </c>
      <c r="I5" s="80">
        <v>9</v>
      </c>
      <c r="J5" s="80">
        <v>8</v>
      </c>
      <c r="K5" s="80">
        <v>7</v>
      </c>
      <c r="L5" s="80">
        <v>6</v>
      </c>
      <c r="M5" s="1378">
        <v>5</v>
      </c>
      <c r="N5" s="133">
        <v>0</v>
      </c>
      <c r="O5" s="133" t="s">
        <v>22</v>
      </c>
      <c r="P5" s="81" t="s">
        <v>23</v>
      </c>
      <c r="Q5" s="123" t="s">
        <v>24</v>
      </c>
      <c r="R5" s="126" t="s">
        <v>25</v>
      </c>
      <c r="S5" s="82" t="s">
        <v>26</v>
      </c>
    </row>
    <row r="6" spans="1:21" ht="18.75" x14ac:dyDescent="0.25">
      <c r="A6" s="3"/>
      <c r="B6" s="25" t="s">
        <v>188</v>
      </c>
      <c r="C6" s="771">
        <v>786</v>
      </c>
      <c r="D6" s="145" t="s">
        <v>29</v>
      </c>
      <c r="E6" s="27" t="s">
        <v>10</v>
      </c>
      <c r="F6" s="28" t="s">
        <v>4</v>
      </c>
      <c r="G6" s="1526">
        <v>15</v>
      </c>
      <c r="H6" s="1526">
        <v>21</v>
      </c>
      <c r="I6" s="1526">
        <v>17</v>
      </c>
      <c r="J6" s="1526">
        <v>5</v>
      </c>
      <c r="K6" s="1526">
        <v>2</v>
      </c>
      <c r="L6" s="932"/>
      <c r="M6" s="1527"/>
      <c r="N6" s="1528"/>
      <c r="O6" s="772">
        <f>(G6*10)+(H6*10)+(I6*9)+(J6*8)+(K6*7)+(L6*6)+(M6*5)</f>
        <v>567</v>
      </c>
      <c r="P6" s="245">
        <f t="shared" ref="P6" si="0">SUM(G6:N6)</f>
        <v>60</v>
      </c>
      <c r="Q6" s="1659"/>
      <c r="R6" s="1660"/>
      <c r="S6" s="618"/>
    </row>
    <row r="7" spans="1:21" ht="18.75" x14ac:dyDescent="0.25">
      <c r="A7" s="3"/>
      <c r="B7" s="25" t="s">
        <v>188</v>
      </c>
      <c r="C7" s="774">
        <v>1786</v>
      </c>
      <c r="D7" s="127" t="s">
        <v>28</v>
      </c>
      <c r="E7" s="46" t="s">
        <v>12</v>
      </c>
      <c r="F7" s="47" t="s">
        <v>4</v>
      </c>
      <c r="G7" s="916">
        <v>11</v>
      </c>
      <c r="H7" s="916">
        <v>19</v>
      </c>
      <c r="I7" s="916">
        <v>25</v>
      </c>
      <c r="J7" s="916">
        <v>5</v>
      </c>
      <c r="K7" s="916"/>
      <c r="L7" s="916"/>
      <c r="M7" s="1529"/>
      <c r="N7" s="1530"/>
      <c r="O7" s="775">
        <f>(G7*10)+(H7*10)+(I7*9)+(J7*8)+(K7*7)+(L7*6)+(M7*5)</f>
        <v>565</v>
      </c>
      <c r="P7" s="195">
        <f t="shared" ref="P7" si="1">SUM(G7:N7)</f>
        <v>60</v>
      </c>
      <c r="Q7" s="1659"/>
      <c r="R7" s="1660"/>
      <c r="S7" s="85" t="str">
        <f t="shared" ref="S7" si="2">IF(N7=0," ",IF(P7&lt;&gt;60,"ERROR!"," "))</f>
        <v xml:space="preserve"> </v>
      </c>
    </row>
    <row r="8" spans="1:21" ht="18.75" x14ac:dyDescent="0.25">
      <c r="A8" s="3"/>
      <c r="B8" s="25" t="s">
        <v>188</v>
      </c>
      <c r="C8" s="1701">
        <v>1475</v>
      </c>
      <c r="D8" s="132" t="s">
        <v>30</v>
      </c>
      <c r="E8" s="63" t="s">
        <v>10</v>
      </c>
      <c r="F8" s="64" t="s">
        <v>3</v>
      </c>
      <c r="G8" s="1702">
        <v>14</v>
      </c>
      <c r="H8" s="1702">
        <v>21</v>
      </c>
      <c r="I8" s="1702">
        <v>17</v>
      </c>
      <c r="J8" s="1702">
        <v>3</v>
      </c>
      <c r="K8" s="1702">
        <v>2</v>
      </c>
      <c r="L8" s="939">
        <v>1</v>
      </c>
      <c r="M8" s="1703"/>
      <c r="N8" s="1704">
        <v>2</v>
      </c>
      <c r="O8" s="1705">
        <f>(G8*10)+(H8*10)+(I8*9)+(J8*8)+(K8*7)+(L8*6)+(M8*5)</f>
        <v>547</v>
      </c>
      <c r="P8" s="1348">
        <f t="shared" ref="P8:P9" si="3">SUM(G8:N8)</f>
        <v>60</v>
      </c>
      <c r="Q8" s="1659"/>
      <c r="R8" s="1660"/>
      <c r="S8" s="85"/>
    </row>
    <row r="9" spans="1:21" ht="18.75" x14ac:dyDescent="0.25">
      <c r="A9" s="3"/>
      <c r="B9" s="25" t="s">
        <v>188</v>
      </c>
      <c r="C9" s="1707">
        <v>1624</v>
      </c>
      <c r="D9" s="127" t="s">
        <v>191</v>
      </c>
      <c r="E9" s="46" t="s">
        <v>12</v>
      </c>
      <c r="F9" s="47" t="s">
        <v>300</v>
      </c>
      <c r="G9" s="1259">
        <v>1</v>
      </c>
      <c r="H9" s="1259">
        <v>1</v>
      </c>
      <c r="I9" s="1259">
        <v>10</v>
      </c>
      <c r="J9" s="1259">
        <v>11</v>
      </c>
      <c r="K9" s="1259">
        <v>12</v>
      </c>
      <c r="L9" s="916">
        <v>4</v>
      </c>
      <c r="M9" s="1529">
        <v>1</v>
      </c>
      <c r="N9" s="1708">
        <v>20</v>
      </c>
      <c r="O9" s="1709">
        <v>311</v>
      </c>
      <c r="P9" s="1348">
        <f t="shared" si="3"/>
        <v>60</v>
      </c>
      <c r="Q9" s="48"/>
      <c r="R9" s="48"/>
      <c r="S9" s="1710"/>
    </row>
    <row r="10" spans="1:21" ht="19.5" thickBot="1" x14ac:dyDescent="0.3">
      <c r="A10" s="11"/>
      <c r="B10" s="769"/>
      <c r="C10" s="1706">
        <f>COUNT(C6:C9)</f>
        <v>4</v>
      </c>
      <c r="D10" s="1613" t="s">
        <v>34</v>
      </c>
      <c r="E10" s="1621"/>
      <c r="F10" s="1613" t="s">
        <v>189</v>
      </c>
      <c r="G10" s="1621"/>
      <c r="H10" s="1621"/>
      <c r="I10" s="1621"/>
      <c r="J10" s="1621"/>
      <c r="K10" s="1621"/>
      <c r="L10" s="1621"/>
      <c r="M10" s="1621"/>
      <c r="N10" s="1621"/>
      <c r="O10" s="1621"/>
      <c r="P10" s="1614"/>
      <c r="Q10" s="3"/>
      <c r="R10" s="3"/>
      <c r="S10" s="3"/>
    </row>
  </sheetData>
  <sortState ref="C6:O8">
    <sortCondition descending="1" ref="O6"/>
  </sortState>
  <mergeCells count="5">
    <mergeCell ref="D4:M4"/>
    <mergeCell ref="Q6:R8"/>
    <mergeCell ref="D10:E10"/>
    <mergeCell ref="F10:P10"/>
    <mergeCell ref="C1:U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0"/>
  <sheetViews>
    <sheetView workbookViewId="0">
      <selection activeCell="R42" sqref="R42"/>
    </sheetView>
  </sheetViews>
  <sheetFormatPr defaultRowHeight="15" x14ac:dyDescent="0.25"/>
  <cols>
    <col min="1" max="1" width="6.140625" customWidth="1"/>
    <col min="3" max="3" width="27.28515625" customWidth="1"/>
    <col min="6" max="6" width="0" hidden="1" customWidth="1"/>
    <col min="18" max="18" width="8.85546875" style="625"/>
  </cols>
  <sheetData>
    <row r="1" spans="1:19" ht="15.75" thickBot="1" x14ac:dyDescent="0.3"/>
    <row r="2" spans="1:19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</row>
    <row r="3" spans="1:19" ht="16.5" thickBot="1" x14ac:dyDescent="0.3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4"/>
      <c r="P3" s="10"/>
      <c r="Q3" s="3"/>
      <c r="R3" s="622"/>
      <c r="S3" s="3"/>
    </row>
    <row r="4" spans="1:19" ht="24" thickBot="1" x14ac:dyDescent="0.3">
      <c r="A4" s="11"/>
      <c r="B4" s="1590" t="s">
        <v>15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1"/>
      <c r="R4" s="1592"/>
      <c r="S4" s="11"/>
    </row>
    <row r="5" spans="1:19" ht="16.5" thickBot="1" x14ac:dyDescent="0.3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4"/>
      <c r="P5" s="10"/>
      <c r="Q5" s="3"/>
      <c r="R5" s="622"/>
      <c r="S5" s="3"/>
    </row>
    <row r="6" spans="1:19" ht="27" thickBot="1" x14ac:dyDescent="0.3">
      <c r="A6" s="3"/>
      <c r="B6" s="4"/>
      <c r="C6" s="1601" t="s">
        <v>1</v>
      </c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2"/>
      <c r="O6" s="1603"/>
      <c r="P6" s="10"/>
      <c r="Q6" s="3"/>
      <c r="R6" s="622"/>
      <c r="S6" s="3"/>
    </row>
    <row r="7" spans="1:19" ht="32.25" thickBot="1" x14ac:dyDescent="0.3">
      <c r="A7" s="3"/>
      <c r="B7" s="135" t="s">
        <v>17</v>
      </c>
      <c r="C7" s="252" t="s">
        <v>18</v>
      </c>
      <c r="D7" s="190" t="s">
        <v>19</v>
      </c>
      <c r="E7" s="191" t="s">
        <v>20</v>
      </c>
      <c r="F7" s="18"/>
      <c r="G7" s="253" t="s">
        <v>21</v>
      </c>
      <c r="H7" s="254">
        <v>10</v>
      </c>
      <c r="I7" s="254">
        <v>9</v>
      </c>
      <c r="J7" s="254">
        <v>8</v>
      </c>
      <c r="K7" s="254">
        <v>7</v>
      </c>
      <c r="L7" s="255">
        <v>6</v>
      </c>
      <c r="M7" s="256">
        <v>5</v>
      </c>
      <c r="N7" s="219">
        <v>0</v>
      </c>
      <c r="O7" s="142" t="s">
        <v>22</v>
      </c>
      <c r="P7" s="257" t="s">
        <v>42</v>
      </c>
      <c r="Q7" s="123" t="s">
        <v>24</v>
      </c>
      <c r="R7" s="623" t="s">
        <v>25</v>
      </c>
      <c r="S7" s="82" t="s">
        <v>26</v>
      </c>
    </row>
    <row r="8" spans="1:19" ht="18.75" x14ac:dyDescent="0.25">
      <c r="A8" s="25" t="s">
        <v>101</v>
      </c>
      <c r="B8" s="161">
        <v>1783</v>
      </c>
      <c r="C8" s="61" t="s">
        <v>181</v>
      </c>
      <c r="D8" s="145" t="s">
        <v>11</v>
      </c>
      <c r="E8" s="28" t="s">
        <v>13</v>
      </c>
      <c r="F8" s="29"/>
      <c r="G8" s="1451">
        <v>16</v>
      </c>
      <c r="H8" s="1451">
        <v>12</v>
      </c>
      <c r="I8" s="1451">
        <v>2</v>
      </c>
      <c r="J8" s="1451"/>
      <c r="K8" s="1451"/>
      <c r="L8" s="1452"/>
      <c r="M8" s="1452"/>
      <c r="N8" s="1453"/>
      <c r="O8" s="142">
        <f>(G8*10)+(H8*10)+(I8*9)+(J8*8)+(K8*7)+(L8*6)+(M8*5)</f>
        <v>298</v>
      </c>
      <c r="P8" s="1280">
        <f t="shared" ref="P8" si="0">SUM(G8:N8)</f>
        <v>30</v>
      </c>
      <c r="Q8" s="1446"/>
      <c r="R8" s="1447"/>
      <c r="S8" s="1129"/>
    </row>
    <row r="9" spans="1:19" ht="18.75" x14ac:dyDescent="0.25">
      <c r="A9" s="25" t="s">
        <v>101</v>
      </c>
      <c r="B9" s="151">
        <v>2149</v>
      </c>
      <c r="C9" s="71" t="s">
        <v>281</v>
      </c>
      <c r="D9" s="127" t="s">
        <v>61</v>
      </c>
      <c r="E9" s="47" t="s">
        <v>13</v>
      </c>
      <c r="F9" s="48"/>
      <c r="G9" s="1490">
        <v>13</v>
      </c>
      <c r="H9" s="1490">
        <v>9</v>
      </c>
      <c r="I9" s="1490">
        <v>7</v>
      </c>
      <c r="J9" s="1490">
        <v>1</v>
      </c>
      <c r="K9" s="1490"/>
      <c r="L9" s="1491"/>
      <c r="M9" s="1491"/>
      <c r="N9" s="221"/>
      <c r="O9" s="198">
        <f>(G9*10)+(H9*10)+(I9*9)+(J9*8)+(K9*7)+(L9*6)+(M9*5)</f>
        <v>291</v>
      </c>
      <c r="P9" s="214">
        <f t="shared" ref="P9" si="1">SUM(G9:N9)</f>
        <v>30</v>
      </c>
      <c r="Q9" s="1446"/>
      <c r="R9" s="1447"/>
      <c r="S9" s="1129"/>
    </row>
    <row r="10" spans="1:19" ht="19.5" thickBot="1" x14ac:dyDescent="0.3">
      <c r="A10" s="25" t="s">
        <v>101</v>
      </c>
      <c r="B10" s="182">
        <v>169</v>
      </c>
      <c r="C10" s="86" t="s">
        <v>170</v>
      </c>
      <c r="D10" s="183" t="s">
        <v>7</v>
      </c>
      <c r="E10" s="87" t="s">
        <v>13</v>
      </c>
      <c r="F10" s="88"/>
      <c r="G10" s="1448">
        <v>8</v>
      </c>
      <c r="H10" s="1448">
        <v>13</v>
      </c>
      <c r="I10" s="1448">
        <v>8</v>
      </c>
      <c r="J10" s="1448">
        <v>0</v>
      </c>
      <c r="K10" s="1448">
        <v>1</v>
      </c>
      <c r="L10" s="1449"/>
      <c r="M10" s="1449"/>
      <c r="N10" s="1450"/>
      <c r="O10" s="726">
        <f>(G10*10)+(H10*10)+(I10*9)+(J10*8)+(K10*7)+(L10*6)+(M10*5)</f>
        <v>289</v>
      </c>
      <c r="P10" s="857">
        <f t="shared" ref="P10" si="2">SUM(G10:N10)</f>
        <v>30</v>
      </c>
      <c r="Q10" s="855"/>
      <c r="R10" s="856"/>
      <c r="S10" s="618"/>
    </row>
    <row r="11" spans="1:19" ht="18.75" x14ac:dyDescent="0.25">
      <c r="A11" s="25" t="s">
        <v>101</v>
      </c>
      <c r="B11" s="151">
        <v>1041</v>
      </c>
      <c r="C11" s="71" t="s">
        <v>202</v>
      </c>
      <c r="D11" s="127" t="s">
        <v>11</v>
      </c>
      <c r="E11" s="47" t="s">
        <v>3</v>
      </c>
      <c r="F11" s="48">
        <v>4</v>
      </c>
      <c r="G11" s="1282">
        <v>17</v>
      </c>
      <c r="H11" s="1282">
        <v>9</v>
      </c>
      <c r="I11" s="1282">
        <v>4</v>
      </c>
      <c r="J11" s="1282"/>
      <c r="K11" s="1282"/>
      <c r="L11" s="1283"/>
      <c r="M11" s="1283"/>
      <c r="N11" s="1286"/>
      <c r="O11" s="198">
        <f t="shared" ref="O11:O36" si="3">(G11*10)+(H11*10)+(I11*9)+(J11*8)+(K11*7)+(L11*6)+(M11*5)</f>
        <v>296</v>
      </c>
      <c r="P11" s="538">
        <f t="shared" ref="P11:P12" si="4">SUM(G11:N11)</f>
        <v>30</v>
      </c>
      <c r="Q11" s="162" t="str">
        <f t="shared" ref="Q11:Q12" si="5">IF(O11&gt;296,"Yes","NO")</f>
        <v>NO</v>
      </c>
      <c r="R11" s="624" t="str">
        <f t="shared" ref="R11" si="6">IF(Q11="yes","HM","")</f>
        <v/>
      </c>
      <c r="S11" s="555"/>
    </row>
    <row r="12" spans="1:19" ht="18.75" x14ac:dyDescent="0.25">
      <c r="A12" s="25" t="s">
        <v>101</v>
      </c>
      <c r="B12" s="151">
        <v>1266</v>
      </c>
      <c r="C12" s="71" t="s">
        <v>223</v>
      </c>
      <c r="D12" s="127" t="s">
        <v>11</v>
      </c>
      <c r="E12" s="47" t="s">
        <v>3</v>
      </c>
      <c r="F12" s="48"/>
      <c r="G12" s="1284">
        <v>8</v>
      </c>
      <c r="H12" s="1284">
        <v>11</v>
      </c>
      <c r="I12" s="1284">
        <v>10</v>
      </c>
      <c r="J12" s="1284">
        <v>1</v>
      </c>
      <c r="K12" s="1284"/>
      <c r="L12" s="1285"/>
      <c r="M12" s="1285"/>
      <c r="N12" s="1287"/>
      <c r="O12" s="198">
        <f t="shared" si="3"/>
        <v>288</v>
      </c>
      <c r="P12" s="538">
        <f t="shared" si="4"/>
        <v>30</v>
      </c>
      <c r="Q12" s="162" t="str">
        <f t="shared" si="5"/>
        <v>NO</v>
      </c>
      <c r="R12" s="624"/>
      <c r="S12" s="555"/>
    </row>
    <row r="13" spans="1:19" ht="18.75" x14ac:dyDescent="0.25">
      <c r="A13" s="25" t="s">
        <v>101</v>
      </c>
      <c r="B13" s="151">
        <v>1465</v>
      </c>
      <c r="C13" s="71" t="s">
        <v>244</v>
      </c>
      <c r="D13" s="127" t="s">
        <v>12</v>
      </c>
      <c r="E13" s="47" t="s">
        <v>3</v>
      </c>
      <c r="F13" s="48" t="e">
        <f>VLOOKUP(E13,$X$10:$Y$14,2,FALSE)</f>
        <v>#N/A</v>
      </c>
      <c r="G13" s="1288">
        <v>5</v>
      </c>
      <c r="H13" s="1288">
        <v>10</v>
      </c>
      <c r="I13" s="1288">
        <v>11</v>
      </c>
      <c r="J13" s="1288">
        <v>4</v>
      </c>
      <c r="K13" s="1288"/>
      <c r="L13" s="1288"/>
      <c r="M13" s="1288"/>
      <c r="N13" s="1288"/>
      <c r="O13" s="198">
        <f t="shared" si="3"/>
        <v>281</v>
      </c>
      <c r="P13" s="538">
        <f t="shared" ref="P13" si="7">SUM(G13:N13)</f>
        <v>30</v>
      </c>
      <c r="Q13" s="162" t="str">
        <f>IF(O13&gt;296,"Yes","NO")</f>
        <v>NO</v>
      </c>
      <c r="R13" s="624" t="str">
        <f>IF(Q13="yes","HM","")</f>
        <v/>
      </c>
      <c r="S13" s="112"/>
    </row>
    <row r="14" spans="1:19" ht="19.5" thickBot="1" x14ac:dyDescent="0.3">
      <c r="A14" s="25" t="s">
        <v>101</v>
      </c>
      <c r="B14" s="151">
        <v>1786</v>
      </c>
      <c r="C14" s="71" t="s">
        <v>172</v>
      </c>
      <c r="D14" s="127" t="s">
        <v>12</v>
      </c>
      <c r="E14" s="47" t="s">
        <v>3</v>
      </c>
      <c r="F14" s="48"/>
      <c r="G14" s="1284">
        <v>6</v>
      </c>
      <c r="H14" s="1284">
        <v>6</v>
      </c>
      <c r="I14" s="1284">
        <v>13</v>
      </c>
      <c r="J14" s="1284">
        <v>4</v>
      </c>
      <c r="K14" s="1284">
        <v>1</v>
      </c>
      <c r="L14" s="1285"/>
      <c r="M14" s="1285"/>
      <c r="N14" s="1287"/>
      <c r="O14" s="198">
        <f t="shared" si="3"/>
        <v>276</v>
      </c>
      <c r="P14" s="538">
        <f t="shared" ref="P14:P51" si="8">SUM(G14:N14)</f>
        <v>30</v>
      </c>
      <c r="Q14" s="162" t="str">
        <f>IF(O14&gt;296,"Yes","NO")</f>
        <v>NO</v>
      </c>
      <c r="R14" s="624"/>
      <c r="S14" s="555"/>
    </row>
    <row r="15" spans="1:19" ht="18.75" x14ac:dyDescent="0.25">
      <c r="A15" s="25" t="s">
        <v>101</v>
      </c>
      <c r="B15" s="161">
        <v>1784</v>
      </c>
      <c r="C15" s="896" t="s">
        <v>177</v>
      </c>
      <c r="D15" s="145" t="s">
        <v>11</v>
      </c>
      <c r="E15" s="28" t="s">
        <v>4</v>
      </c>
      <c r="F15" s="29" t="e">
        <f t="shared" ref="F15:F26" si="9">VLOOKUP(E15,$X$10:$Y$14,2,FALSE)</f>
        <v>#N/A</v>
      </c>
      <c r="G15" s="1024">
        <v>12</v>
      </c>
      <c r="H15" s="1024">
        <v>11</v>
      </c>
      <c r="I15" s="1024">
        <v>5</v>
      </c>
      <c r="J15" s="1024">
        <v>2</v>
      </c>
      <c r="K15" s="1024"/>
      <c r="L15" s="1025"/>
      <c r="M15" s="1025"/>
      <c r="N15" s="1026"/>
      <c r="O15" s="194">
        <f t="shared" si="3"/>
        <v>291</v>
      </c>
      <c r="P15" s="211">
        <f>SUM(G15:N15)</f>
        <v>30</v>
      </c>
      <c r="Q15" s="399" t="str">
        <f>IF(O15&gt;294,"Yes","NO")</f>
        <v>NO</v>
      </c>
      <c r="R15" s="671" t="str">
        <f>IF(Q15="yes","M","")</f>
        <v/>
      </c>
      <c r="S15" s="633" t="str">
        <f>IF(O15=0," ",IF(P15&lt;&gt;30,"ERROR!"," "))</f>
        <v xml:space="preserve"> </v>
      </c>
    </row>
    <row r="16" spans="1:19" ht="18.75" x14ac:dyDescent="0.25">
      <c r="A16" s="25" t="s">
        <v>101</v>
      </c>
      <c r="B16" s="151">
        <v>1798</v>
      </c>
      <c r="C16" s="260" t="s">
        <v>70</v>
      </c>
      <c r="D16" s="127" t="s">
        <v>7</v>
      </c>
      <c r="E16" s="73" t="s">
        <v>4</v>
      </c>
      <c r="F16" s="48" t="e">
        <f t="shared" si="9"/>
        <v>#N/A</v>
      </c>
      <c r="G16" s="1020">
        <v>2</v>
      </c>
      <c r="H16" s="1020">
        <v>15</v>
      </c>
      <c r="I16" s="1020">
        <v>12</v>
      </c>
      <c r="J16" s="1020">
        <v>1</v>
      </c>
      <c r="K16" s="1022"/>
      <c r="L16" s="1023"/>
      <c r="M16" s="1023"/>
      <c r="N16" s="997"/>
      <c r="O16" s="198">
        <f t="shared" si="3"/>
        <v>286</v>
      </c>
      <c r="P16" s="214">
        <f>SUM(G16:N16)</f>
        <v>30</v>
      </c>
      <c r="Q16" s="118" t="str">
        <f>IF(O16&gt;294,"Yes","NO")</f>
        <v>NO</v>
      </c>
      <c r="R16" s="670" t="str">
        <f>IF(Q16="yes","M","")</f>
        <v/>
      </c>
      <c r="S16" s="169" t="str">
        <f>IF(O16=0," ",IF(P16&lt;&gt;30,"ERROR!"," "))</f>
        <v xml:space="preserve"> </v>
      </c>
    </row>
    <row r="17" spans="1:19" ht="18.75" x14ac:dyDescent="0.25">
      <c r="A17" s="25" t="s">
        <v>101</v>
      </c>
      <c r="B17" s="151">
        <v>1477</v>
      </c>
      <c r="C17" s="71" t="s">
        <v>200</v>
      </c>
      <c r="D17" s="127" t="s">
        <v>12</v>
      </c>
      <c r="E17" s="47" t="s">
        <v>4</v>
      </c>
      <c r="F17" s="48" t="e">
        <f t="shared" si="9"/>
        <v>#N/A</v>
      </c>
      <c r="G17" s="918">
        <v>3</v>
      </c>
      <c r="H17" s="918">
        <v>13</v>
      </c>
      <c r="I17" s="918">
        <v>11</v>
      </c>
      <c r="J17" s="918">
        <v>3</v>
      </c>
      <c r="K17" s="1022"/>
      <c r="L17" s="1023"/>
      <c r="M17" s="1023"/>
      <c r="N17" s="997"/>
      <c r="O17" s="198">
        <f t="shared" si="3"/>
        <v>283</v>
      </c>
      <c r="P17" s="214">
        <f t="shared" si="8"/>
        <v>30</v>
      </c>
      <c r="Q17" s="162" t="str">
        <f t="shared" ref="Q17:Q22" si="10">IF(O17&gt;294,"Yes","NO")</f>
        <v>NO</v>
      </c>
      <c r="R17" s="624" t="str">
        <f t="shared" ref="R17:R22" si="11">IF(Q17="yes","M","")</f>
        <v/>
      </c>
      <c r="S17" s="128" t="str">
        <f t="shared" ref="S17:S22" si="12">IF(O17=0," ",IF(P17&lt;&gt;30,"ERROR!"," "))</f>
        <v xml:space="preserve"> </v>
      </c>
    </row>
    <row r="18" spans="1:19" ht="18.75" x14ac:dyDescent="0.25">
      <c r="A18" s="25" t="s">
        <v>101</v>
      </c>
      <c r="B18" s="184">
        <v>1268</v>
      </c>
      <c r="C18" s="37" t="s">
        <v>168</v>
      </c>
      <c r="D18" s="178" t="s">
        <v>8</v>
      </c>
      <c r="E18" s="39" t="s">
        <v>4</v>
      </c>
      <c r="F18" s="40" t="e">
        <f t="shared" si="9"/>
        <v>#N/A</v>
      </c>
      <c r="G18" s="1020">
        <v>7</v>
      </c>
      <c r="H18" s="1020">
        <v>8</v>
      </c>
      <c r="I18" s="1020">
        <v>12</v>
      </c>
      <c r="J18" s="1020">
        <v>3</v>
      </c>
      <c r="K18" s="1020"/>
      <c r="L18" s="1021"/>
      <c r="M18" s="1021"/>
      <c r="N18" s="998"/>
      <c r="O18" s="537">
        <f t="shared" si="3"/>
        <v>282</v>
      </c>
      <c r="P18" s="539">
        <f>SUM(G18:N18)</f>
        <v>30</v>
      </c>
      <c r="Q18" s="162" t="str">
        <f t="shared" si="10"/>
        <v>NO</v>
      </c>
      <c r="R18" s="670" t="str">
        <f>IF(Q18="yes","S","")</f>
        <v/>
      </c>
      <c r="S18" s="169"/>
    </row>
    <row r="19" spans="1:19" ht="18.75" x14ac:dyDescent="0.25">
      <c r="A19" s="25" t="s">
        <v>101</v>
      </c>
      <c r="B19" s="184">
        <v>1412</v>
      </c>
      <c r="C19" s="37" t="s">
        <v>44</v>
      </c>
      <c r="D19" s="178" t="s">
        <v>10</v>
      </c>
      <c r="E19" s="39" t="s">
        <v>4</v>
      </c>
      <c r="F19" s="40" t="e">
        <f t="shared" si="9"/>
        <v>#N/A</v>
      </c>
      <c r="G19" s="915">
        <v>5</v>
      </c>
      <c r="H19" s="915">
        <v>10</v>
      </c>
      <c r="I19" s="915">
        <v>9</v>
      </c>
      <c r="J19" s="915">
        <v>4</v>
      </c>
      <c r="K19" s="1022">
        <v>2</v>
      </c>
      <c r="L19" s="1023"/>
      <c r="M19" s="1023"/>
      <c r="N19" s="997"/>
      <c r="O19" s="198">
        <f t="shared" si="3"/>
        <v>277</v>
      </c>
      <c r="P19" s="214">
        <f t="shared" ref="P19" si="13">SUM(G19:N19)</f>
        <v>30</v>
      </c>
      <c r="Q19" s="162" t="str">
        <f t="shared" si="10"/>
        <v>NO</v>
      </c>
      <c r="R19" s="670"/>
      <c r="S19" s="169"/>
    </row>
    <row r="20" spans="1:19" ht="18.75" x14ac:dyDescent="0.25">
      <c r="A20" s="25" t="s">
        <v>101</v>
      </c>
      <c r="B20" s="184">
        <v>709</v>
      </c>
      <c r="C20" s="536" t="s">
        <v>208</v>
      </c>
      <c r="D20" s="178" t="s">
        <v>8</v>
      </c>
      <c r="E20" s="39" t="s">
        <v>4</v>
      </c>
      <c r="F20" s="40" t="e">
        <f t="shared" si="9"/>
        <v>#N/A</v>
      </c>
      <c r="G20" s="1020">
        <v>1</v>
      </c>
      <c r="H20" s="1020">
        <v>9</v>
      </c>
      <c r="I20" s="1020">
        <v>13</v>
      </c>
      <c r="J20" s="1020">
        <v>7</v>
      </c>
      <c r="K20" s="1020"/>
      <c r="L20" s="1021"/>
      <c r="M20" s="1021"/>
      <c r="N20" s="998"/>
      <c r="O20" s="537">
        <f t="shared" si="3"/>
        <v>273</v>
      </c>
      <c r="P20" s="723">
        <f>SUM(G20:N20)</f>
        <v>30</v>
      </c>
      <c r="Q20" s="162" t="str">
        <f t="shared" si="10"/>
        <v>NO</v>
      </c>
      <c r="R20" s="670" t="str">
        <f>IF(Q20="yes","G","")</f>
        <v/>
      </c>
      <c r="S20" s="169" t="str">
        <f>IF(O20=0," ",IF(P20&lt;&gt;30,"ERROR!"," "))</f>
        <v xml:space="preserve"> </v>
      </c>
    </row>
    <row r="21" spans="1:19" ht="18.75" x14ac:dyDescent="0.25">
      <c r="A21" s="25" t="s">
        <v>101</v>
      </c>
      <c r="B21" s="184">
        <v>638</v>
      </c>
      <c r="C21" s="37" t="s">
        <v>199</v>
      </c>
      <c r="D21" s="178" t="s">
        <v>12</v>
      </c>
      <c r="E21" s="39" t="s">
        <v>4</v>
      </c>
      <c r="F21" s="40" t="e">
        <f t="shared" si="9"/>
        <v>#N/A</v>
      </c>
      <c r="G21" s="918">
        <v>3</v>
      </c>
      <c r="H21" s="918">
        <v>8</v>
      </c>
      <c r="I21" s="918">
        <v>11</v>
      </c>
      <c r="J21" s="918">
        <v>4</v>
      </c>
      <c r="K21" s="1020">
        <v>2</v>
      </c>
      <c r="L21" s="1021"/>
      <c r="M21" s="1021">
        <v>2</v>
      </c>
      <c r="N21" s="998"/>
      <c r="O21" s="537">
        <f t="shared" si="3"/>
        <v>265</v>
      </c>
      <c r="P21" s="723">
        <f>SUM(G21:N21)</f>
        <v>30</v>
      </c>
      <c r="Q21" s="162" t="str">
        <f t="shared" si="10"/>
        <v>NO</v>
      </c>
      <c r="R21" s="670"/>
      <c r="S21" s="169" t="str">
        <f>IF(O21=0," ",IF(P21&lt;&gt;30,"ERROR!"," "))</f>
        <v xml:space="preserve"> </v>
      </c>
    </row>
    <row r="22" spans="1:19" ht="19.5" thickBot="1" x14ac:dyDescent="0.3">
      <c r="A22" s="25" t="s">
        <v>101</v>
      </c>
      <c r="B22" s="151">
        <v>2144</v>
      </c>
      <c r="C22" s="71" t="s">
        <v>245</v>
      </c>
      <c r="D22" s="127" t="s">
        <v>12</v>
      </c>
      <c r="E22" s="47" t="s">
        <v>4</v>
      </c>
      <c r="F22" s="48" t="e">
        <f t="shared" si="9"/>
        <v>#N/A</v>
      </c>
      <c r="G22" s="918">
        <v>1</v>
      </c>
      <c r="H22" s="918">
        <v>11</v>
      </c>
      <c r="I22" s="918">
        <v>5</v>
      </c>
      <c r="J22" s="918">
        <v>8</v>
      </c>
      <c r="K22" s="1022">
        <v>5</v>
      </c>
      <c r="L22" s="1023"/>
      <c r="M22" s="1023"/>
      <c r="N22" s="997"/>
      <c r="O22" s="198">
        <f t="shared" si="3"/>
        <v>264</v>
      </c>
      <c r="P22" s="214">
        <f t="shared" si="8"/>
        <v>30</v>
      </c>
      <c r="Q22" s="118" t="str">
        <f t="shared" si="10"/>
        <v>NO</v>
      </c>
      <c r="R22" s="670" t="str">
        <f t="shared" si="11"/>
        <v/>
      </c>
      <c r="S22" s="169" t="str">
        <f t="shared" si="12"/>
        <v xml:space="preserve"> </v>
      </c>
    </row>
    <row r="23" spans="1:19" ht="18.75" x14ac:dyDescent="0.25">
      <c r="A23" s="25" t="s">
        <v>101</v>
      </c>
      <c r="B23" s="201">
        <v>1799</v>
      </c>
      <c r="C23" s="542" t="s">
        <v>180</v>
      </c>
      <c r="D23" s="19" t="s">
        <v>11</v>
      </c>
      <c r="E23" s="1279" t="s">
        <v>6</v>
      </c>
      <c r="F23" s="80" t="e">
        <f t="shared" si="9"/>
        <v>#N/A</v>
      </c>
      <c r="G23" s="1290">
        <v>5</v>
      </c>
      <c r="H23" s="1290">
        <v>12</v>
      </c>
      <c r="I23" s="1290">
        <v>12</v>
      </c>
      <c r="J23" s="1290">
        <v>1</v>
      </c>
      <c r="K23" s="1290"/>
      <c r="L23" s="1291"/>
      <c r="M23" s="1291"/>
      <c r="N23" s="1292"/>
      <c r="O23" s="142">
        <f t="shared" si="3"/>
        <v>286</v>
      </c>
      <c r="P23" s="1280">
        <f>SUM(G23:N23)</f>
        <v>30</v>
      </c>
      <c r="Q23" s="162" t="str">
        <f t="shared" ref="Q23:Q38" si="14">IF(O23&gt;284,"Yes","NO")</f>
        <v>Yes</v>
      </c>
      <c r="R23" s="1281" t="str">
        <f>IF(Q23="yes","G","")</f>
        <v>G</v>
      </c>
      <c r="S23" s="773" t="str">
        <f>IF(O23=0," ",IF(P23&lt;&gt;30,"ERROR!"," "))</f>
        <v xml:space="preserve"> </v>
      </c>
    </row>
    <row r="24" spans="1:19" ht="18.75" x14ac:dyDescent="0.25">
      <c r="A24" s="25" t="s">
        <v>101</v>
      </c>
      <c r="B24" s="151">
        <v>1982</v>
      </c>
      <c r="C24" s="71" t="s">
        <v>73</v>
      </c>
      <c r="D24" s="127" t="s">
        <v>12</v>
      </c>
      <c r="E24" s="47" t="s">
        <v>6</v>
      </c>
      <c r="F24" s="48" t="e">
        <f t="shared" si="9"/>
        <v>#N/A</v>
      </c>
      <c r="G24" s="1293">
        <v>6</v>
      </c>
      <c r="H24" s="1293">
        <v>10</v>
      </c>
      <c r="I24" s="1293">
        <v>13</v>
      </c>
      <c r="J24" s="1293">
        <v>0</v>
      </c>
      <c r="K24" s="1293">
        <v>1</v>
      </c>
      <c r="L24" s="1294"/>
      <c r="M24" s="1294"/>
      <c r="N24" s="1295"/>
      <c r="O24" s="198">
        <f t="shared" si="3"/>
        <v>284</v>
      </c>
      <c r="P24" s="214">
        <f t="shared" ref="P24:P34" si="15">SUM(G24:N24)</f>
        <v>30</v>
      </c>
      <c r="Q24" s="162" t="str">
        <f t="shared" si="14"/>
        <v>NO</v>
      </c>
      <c r="R24" s="624" t="str">
        <f t="shared" ref="R24:R38" si="16">IF(Q24="yes","G","")</f>
        <v/>
      </c>
      <c r="S24" s="128" t="str">
        <f t="shared" ref="S24:S38" si="17">IF(O24=0," ",IF(P24&lt;&gt;30,"ERROR!"," "))</f>
        <v xml:space="preserve"> </v>
      </c>
    </row>
    <row r="25" spans="1:19" ht="18.75" x14ac:dyDescent="0.25">
      <c r="A25" s="25" t="s">
        <v>101</v>
      </c>
      <c r="B25" s="151">
        <v>1249</v>
      </c>
      <c r="C25" s="71" t="s">
        <v>216</v>
      </c>
      <c r="D25" s="127" t="s">
        <v>10</v>
      </c>
      <c r="E25" s="47" t="s">
        <v>6</v>
      </c>
      <c r="F25" s="48" t="e">
        <f t="shared" si="9"/>
        <v>#N/A</v>
      </c>
      <c r="G25" s="1293">
        <v>5</v>
      </c>
      <c r="H25" s="1293">
        <v>9</v>
      </c>
      <c r="I25" s="1293">
        <v>12</v>
      </c>
      <c r="J25" s="1293">
        <v>2</v>
      </c>
      <c r="K25" s="1293">
        <v>2</v>
      </c>
      <c r="L25" s="1294"/>
      <c r="M25" s="1294"/>
      <c r="N25" s="1295"/>
      <c r="O25" s="198">
        <f t="shared" si="3"/>
        <v>278</v>
      </c>
      <c r="P25" s="214">
        <f>SUM(G25:N25)</f>
        <v>30</v>
      </c>
      <c r="Q25" s="118" t="str">
        <f t="shared" si="14"/>
        <v>NO</v>
      </c>
      <c r="R25" s="670" t="str">
        <f t="shared" si="16"/>
        <v/>
      </c>
      <c r="S25" s="169" t="str">
        <f t="shared" si="17"/>
        <v xml:space="preserve"> </v>
      </c>
    </row>
    <row r="26" spans="1:19" ht="18.75" x14ac:dyDescent="0.25">
      <c r="A26" s="25" t="s">
        <v>101</v>
      </c>
      <c r="B26" s="151">
        <v>1291</v>
      </c>
      <c r="C26" s="71" t="s">
        <v>82</v>
      </c>
      <c r="D26" s="127" t="s">
        <v>7</v>
      </c>
      <c r="E26" s="47" t="s">
        <v>6</v>
      </c>
      <c r="F26" s="48" t="e">
        <f t="shared" si="9"/>
        <v>#N/A</v>
      </c>
      <c r="G26" s="1293">
        <v>4</v>
      </c>
      <c r="H26" s="1293">
        <v>10</v>
      </c>
      <c r="I26" s="1293">
        <v>10</v>
      </c>
      <c r="J26" s="1293">
        <v>3</v>
      </c>
      <c r="K26" s="1293">
        <v>3</v>
      </c>
      <c r="L26" s="1294"/>
      <c r="M26" s="1294"/>
      <c r="N26" s="1295"/>
      <c r="O26" s="198">
        <f t="shared" si="3"/>
        <v>275</v>
      </c>
      <c r="P26" s="214">
        <f t="shared" si="15"/>
        <v>30</v>
      </c>
      <c r="Q26" s="118" t="str">
        <f t="shared" si="14"/>
        <v>NO</v>
      </c>
      <c r="R26" s="670" t="str">
        <f t="shared" si="16"/>
        <v/>
      </c>
      <c r="S26" s="169" t="str">
        <f t="shared" si="17"/>
        <v xml:space="preserve"> </v>
      </c>
    </row>
    <row r="27" spans="1:19" ht="18.75" x14ac:dyDescent="0.25">
      <c r="A27" s="25" t="s">
        <v>101</v>
      </c>
      <c r="B27" s="151">
        <v>1170</v>
      </c>
      <c r="C27" s="71" t="s">
        <v>227</v>
      </c>
      <c r="D27" s="127" t="s">
        <v>11</v>
      </c>
      <c r="E27" s="47" t="s">
        <v>6</v>
      </c>
      <c r="F27" s="48"/>
      <c r="G27" s="1293">
        <v>2</v>
      </c>
      <c r="H27" s="1293">
        <v>7</v>
      </c>
      <c r="I27" s="1293">
        <v>13</v>
      </c>
      <c r="J27" s="1293">
        <v>6</v>
      </c>
      <c r="K27" s="1293">
        <v>2</v>
      </c>
      <c r="L27" s="1294"/>
      <c r="M27" s="1294"/>
      <c r="N27" s="1295"/>
      <c r="O27" s="198">
        <f>(G27*10)+(H27*10)+(I27*9)+(J27*8)+(K27*7)+(L27*6)+(M27*5)</f>
        <v>269</v>
      </c>
      <c r="P27" s="214">
        <f t="shared" si="15"/>
        <v>30</v>
      </c>
      <c r="Q27" s="118" t="str">
        <f t="shared" si="14"/>
        <v>NO</v>
      </c>
      <c r="R27" s="670" t="str">
        <f t="shared" si="16"/>
        <v/>
      </c>
      <c r="S27" s="169" t="str">
        <f t="shared" si="17"/>
        <v xml:space="preserve"> </v>
      </c>
    </row>
    <row r="28" spans="1:19" ht="18.75" x14ac:dyDescent="0.25">
      <c r="A28" s="25" t="s">
        <v>101</v>
      </c>
      <c r="B28" s="151">
        <v>1264</v>
      </c>
      <c r="C28" s="71" t="s">
        <v>149</v>
      </c>
      <c r="D28" s="127" t="s">
        <v>7</v>
      </c>
      <c r="E28" s="47" t="s">
        <v>6</v>
      </c>
      <c r="F28" s="48" t="e">
        <f>VLOOKUP(E28,$X$10:$Y$14,2,FALSE)</f>
        <v>#N/A</v>
      </c>
      <c r="G28" s="1293">
        <v>2</v>
      </c>
      <c r="H28" s="1293">
        <v>5</v>
      </c>
      <c r="I28" s="1293">
        <v>16</v>
      </c>
      <c r="J28" s="1293">
        <v>6</v>
      </c>
      <c r="K28" s="1293">
        <v>1</v>
      </c>
      <c r="L28" s="1294"/>
      <c r="M28" s="1294"/>
      <c r="N28" s="1295"/>
      <c r="O28" s="198">
        <f>(G28*10)+(H28*10)+(I28*9)+(J28*8)+(K28*7)+(L28*6)+(M28*5)</f>
        <v>269</v>
      </c>
      <c r="P28" s="214">
        <f t="shared" ref="P28" si="18">SUM(G28:N28)</f>
        <v>30</v>
      </c>
      <c r="Q28" s="118" t="str">
        <f t="shared" ref="Q28" si="19">IF(O28&gt;284,"Yes","NO")</f>
        <v>NO</v>
      </c>
      <c r="R28" s="670"/>
      <c r="S28" s="169"/>
    </row>
    <row r="29" spans="1:19" ht="18.75" x14ac:dyDescent="0.25">
      <c r="A29" s="25" t="s">
        <v>101</v>
      </c>
      <c r="B29" s="151">
        <v>2035</v>
      </c>
      <c r="C29" s="71" t="s">
        <v>222</v>
      </c>
      <c r="D29" s="127" t="s">
        <v>11</v>
      </c>
      <c r="E29" s="47" t="s">
        <v>6</v>
      </c>
      <c r="F29" s="48" t="e">
        <f>VLOOKUP(E29,$X$10:$Y$14,2,FALSE)</f>
        <v>#N/A</v>
      </c>
      <c r="G29" s="1293">
        <v>1</v>
      </c>
      <c r="H29" s="1293">
        <v>5</v>
      </c>
      <c r="I29" s="1293">
        <v>16</v>
      </c>
      <c r="J29" s="1293">
        <v>8</v>
      </c>
      <c r="K29" s="1293"/>
      <c r="L29" s="1294"/>
      <c r="M29" s="1294"/>
      <c r="N29" s="1295"/>
      <c r="O29" s="198">
        <f t="shared" si="3"/>
        <v>268</v>
      </c>
      <c r="P29" s="214">
        <f t="shared" si="15"/>
        <v>30</v>
      </c>
      <c r="Q29" s="118" t="str">
        <f t="shared" si="14"/>
        <v>NO</v>
      </c>
      <c r="R29" s="670" t="str">
        <f t="shared" si="16"/>
        <v/>
      </c>
      <c r="S29" s="169" t="str">
        <f t="shared" si="17"/>
        <v xml:space="preserve"> </v>
      </c>
    </row>
    <row r="30" spans="1:19" ht="18.75" x14ac:dyDescent="0.25">
      <c r="A30" s="25" t="s">
        <v>101</v>
      </c>
      <c r="B30" s="151">
        <v>2218</v>
      </c>
      <c r="C30" s="71" t="s">
        <v>175</v>
      </c>
      <c r="D30" s="127" t="s">
        <v>12</v>
      </c>
      <c r="E30" s="47" t="s">
        <v>6</v>
      </c>
      <c r="F30" s="48"/>
      <c r="G30" s="1293">
        <v>3</v>
      </c>
      <c r="H30" s="1293">
        <v>5</v>
      </c>
      <c r="I30" s="1293">
        <v>14</v>
      </c>
      <c r="J30" s="1293">
        <v>6</v>
      </c>
      <c r="K30" s="1293">
        <v>1</v>
      </c>
      <c r="L30" s="1294">
        <v>1</v>
      </c>
      <c r="M30" s="1294"/>
      <c r="N30" s="1295"/>
      <c r="O30" s="198">
        <f t="shared" si="3"/>
        <v>267</v>
      </c>
      <c r="P30" s="214">
        <f t="shared" ref="P30" si="20">SUM(G30:N30)</f>
        <v>30</v>
      </c>
      <c r="Q30" s="118" t="str">
        <f t="shared" ref="Q30" si="21">IF(O30&gt;284,"Yes","NO")</f>
        <v>NO</v>
      </c>
      <c r="R30" s="670"/>
      <c r="S30" s="169"/>
    </row>
    <row r="31" spans="1:19" ht="18.75" x14ac:dyDescent="0.25">
      <c r="A31" s="25" t="s">
        <v>101</v>
      </c>
      <c r="B31" s="151">
        <v>2040</v>
      </c>
      <c r="C31" s="71" t="s">
        <v>178</v>
      </c>
      <c r="D31" s="127" t="s">
        <v>11</v>
      </c>
      <c r="E31" s="47" t="s">
        <v>6</v>
      </c>
      <c r="F31" s="48" t="e">
        <f t="shared" ref="F31:F43" si="22">VLOOKUP(E31,$X$10:$Y$14,2,FALSE)</f>
        <v>#N/A</v>
      </c>
      <c r="G31" s="1293"/>
      <c r="H31" s="1293">
        <v>6</v>
      </c>
      <c r="I31" s="1293">
        <v>15</v>
      </c>
      <c r="J31" s="1293">
        <v>7</v>
      </c>
      <c r="K31" s="1293">
        <v>2</v>
      </c>
      <c r="L31" s="1294"/>
      <c r="M31" s="1294"/>
      <c r="N31" s="1295"/>
      <c r="O31" s="198">
        <f t="shared" si="3"/>
        <v>265</v>
      </c>
      <c r="P31" s="214">
        <f t="shared" si="15"/>
        <v>30</v>
      </c>
      <c r="Q31" s="118" t="str">
        <f t="shared" si="14"/>
        <v>NO</v>
      </c>
      <c r="R31" s="670" t="str">
        <f t="shared" si="16"/>
        <v/>
      </c>
      <c r="S31" s="169" t="str">
        <f t="shared" si="17"/>
        <v xml:space="preserve"> </v>
      </c>
    </row>
    <row r="32" spans="1:19" ht="18.75" x14ac:dyDescent="0.25">
      <c r="A32" s="25" t="s">
        <v>101</v>
      </c>
      <c r="B32" s="151">
        <v>2009</v>
      </c>
      <c r="C32" s="71" t="s">
        <v>234</v>
      </c>
      <c r="D32" s="127" t="s">
        <v>10</v>
      </c>
      <c r="E32" s="47" t="s">
        <v>6</v>
      </c>
      <c r="F32" s="48" t="e">
        <f t="shared" si="22"/>
        <v>#N/A</v>
      </c>
      <c r="G32" s="1165">
        <v>3</v>
      </c>
      <c r="H32" s="1165">
        <v>3</v>
      </c>
      <c r="I32" s="1165">
        <v>9</v>
      </c>
      <c r="J32" s="1165">
        <v>14</v>
      </c>
      <c r="K32" s="1293">
        <v>1</v>
      </c>
      <c r="L32" s="1294"/>
      <c r="M32" s="1294"/>
      <c r="N32" s="1295"/>
      <c r="O32" s="198">
        <f t="shared" si="3"/>
        <v>260</v>
      </c>
      <c r="P32" s="214">
        <f t="shared" si="15"/>
        <v>30</v>
      </c>
      <c r="Q32" s="118" t="str">
        <f t="shared" si="14"/>
        <v>NO</v>
      </c>
      <c r="R32" s="670" t="str">
        <f t="shared" si="16"/>
        <v/>
      </c>
      <c r="S32" s="169" t="str">
        <f t="shared" si="17"/>
        <v xml:space="preserve"> </v>
      </c>
    </row>
    <row r="33" spans="1:19" ht="18.75" x14ac:dyDescent="0.25">
      <c r="A33" s="25" t="s">
        <v>101</v>
      </c>
      <c r="B33" s="151">
        <v>1629</v>
      </c>
      <c r="C33" s="71" t="s">
        <v>226</v>
      </c>
      <c r="D33" s="127" t="s">
        <v>11</v>
      </c>
      <c r="E33" s="47" t="s">
        <v>6</v>
      </c>
      <c r="F33" s="48" t="e">
        <f t="shared" si="22"/>
        <v>#N/A</v>
      </c>
      <c r="G33" s="1165">
        <v>1</v>
      </c>
      <c r="H33" s="1165">
        <v>5</v>
      </c>
      <c r="I33" s="1165">
        <v>12</v>
      </c>
      <c r="J33" s="1165">
        <v>7</v>
      </c>
      <c r="K33" s="1293">
        <v>4</v>
      </c>
      <c r="L33" s="1294">
        <v>1</v>
      </c>
      <c r="M33" s="1294"/>
      <c r="N33" s="1295"/>
      <c r="O33" s="198">
        <f t="shared" si="3"/>
        <v>258</v>
      </c>
      <c r="P33" s="214">
        <f t="shared" si="15"/>
        <v>30</v>
      </c>
      <c r="Q33" s="118" t="str">
        <f t="shared" si="14"/>
        <v>NO</v>
      </c>
      <c r="R33" s="670" t="str">
        <f t="shared" si="16"/>
        <v/>
      </c>
      <c r="S33" s="169" t="str">
        <f t="shared" si="17"/>
        <v xml:space="preserve"> </v>
      </c>
    </row>
    <row r="34" spans="1:19" ht="18.75" x14ac:dyDescent="0.25">
      <c r="A34" s="25" t="s">
        <v>101</v>
      </c>
      <c r="B34" s="151">
        <v>2582</v>
      </c>
      <c r="C34" s="260" t="s">
        <v>71</v>
      </c>
      <c r="D34" s="127" t="s">
        <v>10</v>
      </c>
      <c r="E34" s="73" t="s">
        <v>6</v>
      </c>
      <c r="F34" s="48" t="e">
        <f>VLOOKUP(E34,$X$10:$Y$14,2,FALSE)</f>
        <v>#N/A</v>
      </c>
      <c r="G34" s="1289">
        <v>1</v>
      </c>
      <c r="H34" s="1289">
        <v>8</v>
      </c>
      <c r="I34" s="1289">
        <v>16</v>
      </c>
      <c r="J34" s="1289">
        <v>2</v>
      </c>
      <c r="K34" s="1289">
        <v>1</v>
      </c>
      <c r="L34" s="1289"/>
      <c r="M34" s="1289"/>
      <c r="N34" s="1295">
        <v>2</v>
      </c>
      <c r="O34" s="198">
        <f>(G34*10)+(H34*10)+(I34*9)+(J34*8)+(K34*7)+(L34*6)+(M34*5)</f>
        <v>257</v>
      </c>
      <c r="P34" s="214">
        <f t="shared" si="15"/>
        <v>30</v>
      </c>
      <c r="Q34" s="118" t="str">
        <f t="shared" si="14"/>
        <v>NO</v>
      </c>
      <c r="R34" s="670" t="str">
        <f t="shared" si="16"/>
        <v/>
      </c>
      <c r="S34" s="169" t="str">
        <f t="shared" si="17"/>
        <v xml:space="preserve"> </v>
      </c>
    </row>
    <row r="35" spans="1:19" ht="18.75" x14ac:dyDescent="0.25">
      <c r="A35" s="25" t="s">
        <v>101</v>
      </c>
      <c r="B35" s="151">
        <v>1901</v>
      </c>
      <c r="C35" s="71" t="s">
        <v>38</v>
      </c>
      <c r="D35" s="127" t="s">
        <v>11</v>
      </c>
      <c r="E35" s="47" t="s">
        <v>6</v>
      </c>
      <c r="F35" s="48" t="e">
        <f>VLOOKUP(E35,$X$10:$Y$14,2,FALSE)</f>
        <v>#N/A</v>
      </c>
      <c r="G35" s="1293">
        <v>1</v>
      </c>
      <c r="H35" s="1293">
        <v>7</v>
      </c>
      <c r="I35" s="1293">
        <v>12</v>
      </c>
      <c r="J35" s="1293">
        <v>7</v>
      </c>
      <c r="K35" s="1293">
        <v>1</v>
      </c>
      <c r="L35" s="1294">
        <v>1</v>
      </c>
      <c r="M35" s="1294">
        <v>0</v>
      </c>
      <c r="N35" s="1295">
        <v>1</v>
      </c>
      <c r="O35" s="198">
        <f>(G35*10)+(H35*10)+(I35*9)+(J35*8)+(K35*7)+(L35*6)+(M35*5)</f>
        <v>257</v>
      </c>
      <c r="P35" s="214">
        <f t="shared" ref="P35" si="23">SUM(G35:N35)</f>
        <v>30</v>
      </c>
      <c r="Q35" s="118" t="str">
        <f t="shared" ref="Q35" si="24">IF(O35&gt;284,"Yes","NO")</f>
        <v>NO</v>
      </c>
      <c r="R35" s="670"/>
      <c r="S35" s="169"/>
    </row>
    <row r="36" spans="1:19" ht="18.75" x14ac:dyDescent="0.25">
      <c r="A36" s="25" t="s">
        <v>101</v>
      </c>
      <c r="B36" s="151">
        <v>1225</v>
      </c>
      <c r="C36" s="71" t="s">
        <v>186</v>
      </c>
      <c r="D36" s="127" t="s">
        <v>12</v>
      </c>
      <c r="E36" s="47" t="s">
        <v>6</v>
      </c>
      <c r="F36" s="48" t="e">
        <f t="shared" si="22"/>
        <v>#N/A</v>
      </c>
      <c r="G36" s="1293">
        <v>2</v>
      </c>
      <c r="H36" s="1293">
        <v>7</v>
      </c>
      <c r="I36" s="1293">
        <v>9</v>
      </c>
      <c r="J36" s="1293">
        <v>6</v>
      </c>
      <c r="K36" s="1293">
        <v>5</v>
      </c>
      <c r="L36" s="1294"/>
      <c r="M36" s="1294"/>
      <c r="N36" s="1295">
        <v>1</v>
      </c>
      <c r="O36" s="198">
        <f t="shared" si="3"/>
        <v>254</v>
      </c>
      <c r="P36" s="214">
        <f>SUM(G36:N36)</f>
        <v>30</v>
      </c>
      <c r="Q36" s="118" t="str">
        <f t="shared" si="14"/>
        <v>NO</v>
      </c>
      <c r="R36" s="670" t="str">
        <f t="shared" si="16"/>
        <v/>
      </c>
      <c r="S36" s="169" t="str">
        <f t="shared" si="17"/>
        <v xml:space="preserve"> </v>
      </c>
    </row>
    <row r="37" spans="1:19" ht="18.75" x14ac:dyDescent="0.25">
      <c r="A37" s="25" t="s">
        <v>101</v>
      </c>
      <c r="B37" s="151">
        <v>1726</v>
      </c>
      <c r="C37" s="71" t="s">
        <v>83</v>
      </c>
      <c r="D37" s="127" t="s">
        <v>12</v>
      </c>
      <c r="E37" s="47" t="s">
        <v>6</v>
      </c>
      <c r="F37" s="48" t="e">
        <f>VLOOKUP(E37,$X$10:$Y$14,2,FALSE)</f>
        <v>#N/A</v>
      </c>
      <c r="G37" s="1020">
        <v>1</v>
      </c>
      <c r="H37" s="1020">
        <v>1</v>
      </c>
      <c r="I37" s="1020">
        <v>11</v>
      </c>
      <c r="J37" s="1020">
        <v>7</v>
      </c>
      <c r="K37" s="1022">
        <v>8</v>
      </c>
      <c r="L37" s="1023">
        <v>2</v>
      </c>
      <c r="M37" s="1023"/>
      <c r="N37" s="997"/>
      <c r="O37" s="198">
        <f>(G37*10)+(H37*10)+(I37*9)+(J37*8)+(K37*7)+(L37*6)+(M37*5)</f>
        <v>243</v>
      </c>
      <c r="P37" s="214">
        <f t="shared" si="8"/>
        <v>30</v>
      </c>
      <c r="Q37" s="118" t="str">
        <f t="shared" si="14"/>
        <v>NO</v>
      </c>
      <c r="R37" s="670" t="str">
        <f t="shared" si="16"/>
        <v/>
      </c>
      <c r="S37" s="169" t="str">
        <f t="shared" si="17"/>
        <v xml:space="preserve"> </v>
      </c>
    </row>
    <row r="38" spans="1:19" ht="19.5" thickBot="1" x14ac:dyDescent="0.3">
      <c r="A38" s="25" t="s">
        <v>101</v>
      </c>
      <c r="B38" s="186">
        <v>1767</v>
      </c>
      <c r="C38" s="116" t="s">
        <v>224</v>
      </c>
      <c r="D38" s="187" t="s">
        <v>11</v>
      </c>
      <c r="E38" s="100" t="s">
        <v>6</v>
      </c>
      <c r="F38" s="101" t="e">
        <f>VLOOKUP(E38,$X$10:$Y$14,2,FALSE)</f>
        <v>#N/A</v>
      </c>
      <c r="G38" s="1454">
        <v>2</v>
      </c>
      <c r="H38" s="1454">
        <v>3</v>
      </c>
      <c r="I38" s="1454">
        <v>5</v>
      </c>
      <c r="J38" s="1454">
        <v>13</v>
      </c>
      <c r="K38" s="1454">
        <v>3</v>
      </c>
      <c r="L38" s="1455"/>
      <c r="M38" s="1455"/>
      <c r="N38" s="1456">
        <v>4</v>
      </c>
      <c r="O38" s="585">
        <f>(G38*10)+(H38*10)+(I38*9)+(J38*8)+(K38*7)+(L38*6)+(M38*5)</f>
        <v>220</v>
      </c>
      <c r="P38" s="724">
        <f t="shared" ref="P38" si="25">SUM(G38:N38)</f>
        <v>30</v>
      </c>
      <c r="Q38" s="520" t="str">
        <f t="shared" si="14"/>
        <v>NO</v>
      </c>
      <c r="R38" s="725" t="str">
        <f t="shared" si="16"/>
        <v/>
      </c>
      <c r="S38" s="618" t="str">
        <f t="shared" si="17"/>
        <v xml:space="preserve"> </v>
      </c>
    </row>
    <row r="39" spans="1:19" ht="18.75" x14ac:dyDescent="0.25">
      <c r="A39" s="25" t="s">
        <v>101</v>
      </c>
      <c r="B39" s="161">
        <v>1853</v>
      </c>
      <c r="C39" s="61" t="s">
        <v>40</v>
      </c>
      <c r="D39" s="145" t="s">
        <v>11</v>
      </c>
      <c r="E39" s="28" t="s">
        <v>5</v>
      </c>
      <c r="F39" s="29" t="e">
        <f t="shared" si="22"/>
        <v>#N/A</v>
      </c>
      <c r="G39" s="1024">
        <v>5</v>
      </c>
      <c r="H39" s="1024">
        <v>8</v>
      </c>
      <c r="I39" s="1024">
        <v>11</v>
      </c>
      <c r="J39" s="1024">
        <v>5</v>
      </c>
      <c r="K39" s="1024">
        <v>1</v>
      </c>
      <c r="L39" s="1025"/>
      <c r="M39" s="1025"/>
      <c r="N39" s="1457"/>
      <c r="O39" s="194">
        <f t="shared" ref="O39:O43" si="26">(G39*10)+(H39*10)+(I39*9)+(J39*8)+(K39*7)+(L39*6)+(M39*5)</f>
        <v>276</v>
      </c>
      <c r="P39" s="1029">
        <f t="shared" si="8"/>
        <v>30</v>
      </c>
      <c r="Q39" s="162" t="str">
        <f t="shared" ref="Q39:Q56" si="27">IF(O39&gt;270,"Yes","NO")</f>
        <v>Yes</v>
      </c>
      <c r="R39" s="671" t="str">
        <f t="shared" ref="R39:R56" si="28">IF(Q39="yes","S","")</f>
        <v>S</v>
      </c>
      <c r="S39" s="633"/>
    </row>
    <row r="40" spans="1:19" ht="18.75" x14ac:dyDescent="0.25">
      <c r="A40" s="25" t="s">
        <v>101</v>
      </c>
      <c r="B40" s="184">
        <v>1922</v>
      </c>
      <c r="C40" s="37" t="s">
        <v>217</v>
      </c>
      <c r="D40" s="894" t="s">
        <v>10</v>
      </c>
      <c r="E40" s="39" t="s">
        <v>5</v>
      </c>
      <c r="F40" s="40" t="e">
        <f t="shared" si="22"/>
        <v>#N/A</v>
      </c>
      <c r="G40" s="1020">
        <v>4</v>
      </c>
      <c r="H40" s="1020">
        <v>11</v>
      </c>
      <c r="I40" s="1020">
        <v>8</v>
      </c>
      <c r="J40" s="1020">
        <v>6</v>
      </c>
      <c r="K40" s="1020"/>
      <c r="L40" s="1021"/>
      <c r="M40" s="1021"/>
      <c r="N40" s="1228">
        <v>1</v>
      </c>
      <c r="O40" s="198">
        <f t="shared" si="26"/>
        <v>270</v>
      </c>
      <c r="P40" s="673">
        <f>SUM(G40:N40)</f>
        <v>30</v>
      </c>
      <c r="Q40" s="162" t="str">
        <f t="shared" si="27"/>
        <v>NO</v>
      </c>
      <c r="R40" s="670" t="str">
        <f t="shared" si="28"/>
        <v/>
      </c>
      <c r="S40" s="128"/>
    </row>
    <row r="41" spans="1:19" ht="18.75" x14ac:dyDescent="0.25">
      <c r="A41" s="25" t="s">
        <v>101</v>
      </c>
      <c r="B41" s="151">
        <v>1850</v>
      </c>
      <c r="C41" s="260" t="s">
        <v>243</v>
      </c>
      <c r="D41" s="127" t="s">
        <v>8</v>
      </c>
      <c r="E41" s="47" t="s">
        <v>5</v>
      </c>
      <c r="F41" s="48" t="e">
        <f t="shared" si="22"/>
        <v>#N/A</v>
      </c>
      <c r="G41" s="918">
        <v>1</v>
      </c>
      <c r="H41" s="918">
        <v>7</v>
      </c>
      <c r="I41" s="918">
        <v>16</v>
      </c>
      <c r="J41" s="918">
        <v>4</v>
      </c>
      <c r="K41" s="918">
        <v>2</v>
      </c>
      <c r="L41" s="918"/>
      <c r="M41" s="915"/>
      <c r="N41" s="1458"/>
      <c r="O41" s="198">
        <f t="shared" si="26"/>
        <v>270</v>
      </c>
      <c r="P41" s="673">
        <f t="shared" si="8"/>
        <v>30</v>
      </c>
      <c r="Q41" s="162" t="str">
        <f t="shared" si="27"/>
        <v>NO</v>
      </c>
      <c r="R41" s="670" t="str">
        <f t="shared" si="28"/>
        <v/>
      </c>
      <c r="S41" s="128"/>
    </row>
    <row r="42" spans="1:19" ht="18.75" x14ac:dyDescent="0.25">
      <c r="A42" s="25" t="s">
        <v>101</v>
      </c>
      <c r="B42" s="151">
        <v>1615</v>
      </c>
      <c r="C42" s="71" t="s">
        <v>185</v>
      </c>
      <c r="D42" s="127" t="s">
        <v>12</v>
      </c>
      <c r="E42" s="47" t="s">
        <v>5</v>
      </c>
      <c r="F42" s="48" t="e">
        <f t="shared" si="22"/>
        <v>#N/A</v>
      </c>
      <c r="G42" s="1020">
        <v>4</v>
      </c>
      <c r="H42" s="1020">
        <v>6</v>
      </c>
      <c r="I42" s="1020">
        <v>13</v>
      </c>
      <c r="J42" s="1020">
        <v>4</v>
      </c>
      <c r="K42" s="1020">
        <v>2</v>
      </c>
      <c r="L42" s="1021">
        <v>1</v>
      </c>
      <c r="M42" s="1023"/>
      <c r="N42" s="1459"/>
      <c r="O42" s="198">
        <f t="shared" si="26"/>
        <v>269</v>
      </c>
      <c r="P42" s="673">
        <f t="shared" ref="P42" si="29">SUM(G42:N42)</f>
        <v>30</v>
      </c>
      <c r="Q42" s="162" t="str">
        <f t="shared" ref="Q42:Q43" si="30">IF(O42&gt;270,"Yes","NO")</f>
        <v>NO</v>
      </c>
      <c r="R42" s="670"/>
      <c r="S42" s="128"/>
    </row>
    <row r="43" spans="1:19" ht="18.75" x14ac:dyDescent="0.25">
      <c r="A43" s="25" t="s">
        <v>101</v>
      </c>
      <c r="B43" s="151">
        <v>1052</v>
      </c>
      <c r="C43" s="71" t="s">
        <v>209</v>
      </c>
      <c r="D43" s="127" t="s">
        <v>8</v>
      </c>
      <c r="E43" s="47" t="s">
        <v>5</v>
      </c>
      <c r="F43" s="48" t="e">
        <f t="shared" si="22"/>
        <v>#N/A</v>
      </c>
      <c r="G43" s="1020">
        <v>2</v>
      </c>
      <c r="H43" s="1020">
        <v>9</v>
      </c>
      <c r="I43" s="1020">
        <v>7</v>
      </c>
      <c r="J43" s="1020">
        <v>9</v>
      </c>
      <c r="K43" s="1020">
        <v>2</v>
      </c>
      <c r="L43" s="1021">
        <v>1</v>
      </c>
      <c r="M43" s="1023"/>
      <c r="N43" s="1459"/>
      <c r="O43" s="198">
        <f t="shared" si="26"/>
        <v>265</v>
      </c>
      <c r="P43" s="673">
        <f t="shared" ref="P43" si="31">SUM(G43:N43)</f>
        <v>30</v>
      </c>
      <c r="Q43" s="162" t="str">
        <f t="shared" si="30"/>
        <v>NO</v>
      </c>
      <c r="R43" s="670"/>
      <c r="S43" s="128"/>
    </row>
    <row r="44" spans="1:19" ht="18.75" x14ac:dyDescent="0.25">
      <c r="A44" s="25" t="s">
        <v>101</v>
      </c>
      <c r="B44" s="151">
        <v>2499</v>
      </c>
      <c r="C44" s="71" t="s">
        <v>272</v>
      </c>
      <c r="D44" s="127" t="s">
        <v>12</v>
      </c>
      <c r="E44" s="47" t="s">
        <v>5</v>
      </c>
      <c r="F44" s="48" t="e">
        <f t="shared" ref="F44:F58" si="32">VLOOKUP(E44,$X$10:$Y$14,2,FALSE)</f>
        <v>#N/A</v>
      </c>
      <c r="G44" s="1022">
        <v>2</v>
      </c>
      <c r="H44" s="1022">
        <v>3</v>
      </c>
      <c r="I44" s="1022">
        <v>13</v>
      </c>
      <c r="J44" s="1022">
        <v>3</v>
      </c>
      <c r="K44" s="1022">
        <v>7</v>
      </c>
      <c r="L44" s="1023">
        <v>2</v>
      </c>
      <c r="M44" s="1023"/>
      <c r="N44" s="1459"/>
      <c r="O44" s="198">
        <f t="shared" ref="O44:O58" si="33">(G44*10)+(H44*10)+(I44*9)+(J44*8)+(K44*7)+(L44*6)+(M44*5)</f>
        <v>252</v>
      </c>
      <c r="P44" s="673">
        <f t="shared" si="8"/>
        <v>30</v>
      </c>
      <c r="Q44" s="162" t="str">
        <f t="shared" si="27"/>
        <v>NO</v>
      </c>
      <c r="R44" s="670" t="str">
        <f t="shared" si="28"/>
        <v/>
      </c>
      <c r="S44" s="128"/>
    </row>
    <row r="45" spans="1:19" ht="18.75" x14ac:dyDescent="0.25">
      <c r="A45" s="25" t="s">
        <v>101</v>
      </c>
      <c r="B45" s="151">
        <v>1624</v>
      </c>
      <c r="C45" s="71" t="s">
        <v>191</v>
      </c>
      <c r="D45" s="127" t="s">
        <v>12</v>
      </c>
      <c r="E45" s="47" t="s">
        <v>5</v>
      </c>
      <c r="F45" s="48" t="e">
        <f t="shared" si="32"/>
        <v>#N/A</v>
      </c>
      <c r="G45" s="1022">
        <v>0</v>
      </c>
      <c r="H45" s="1022">
        <v>3</v>
      </c>
      <c r="I45" s="1022">
        <v>13</v>
      </c>
      <c r="J45" s="1022">
        <v>8</v>
      </c>
      <c r="K45" s="1022">
        <v>3</v>
      </c>
      <c r="L45" s="1022">
        <v>3</v>
      </c>
      <c r="M45" s="1022"/>
      <c r="N45" s="1460"/>
      <c r="O45" s="198">
        <f t="shared" si="33"/>
        <v>250</v>
      </c>
      <c r="P45" s="673">
        <f t="shared" ref="P45" si="34">SUM(G45:N45)</f>
        <v>30</v>
      </c>
      <c r="Q45" s="162" t="str">
        <f t="shared" ref="Q45" si="35">IF(O45&gt;270,"Yes","NO")</f>
        <v>NO</v>
      </c>
      <c r="R45" s="670"/>
      <c r="S45" s="128"/>
    </row>
    <row r="46" spans="1:19" ht="18.75" x14ac:dyDescent="0.25">
      <c r="A46" s="25" t="s">
        <v>101</v>
      </c>
      <c r="B46" s="151">
        <v>1983</v>
      </c>
      <c r="C46" s="71" t="s">
        <v>77</v>
      </c>
      <c r="D46" s="127" t="s">
        <v>12</v>
      </c>
      <c r="E46" s="47" t="s">
        <v>5</v>
      </c>
      <c r="F46" s="48" t="e">
        <f t="shared" si="32"/>
        <v>#N/A</v>
      </c>
      <c r="G46" s="1022">
        <v>3</v>
      </c>
      <c r="H46" s="1022">
        <v>6</v>
      </c>
      <c r="I46" s="1022">
        <v>7</v>
      </c>
      <c r="J46" s="1022">
        <v>7</v>
      </c>
      <c r="K46" s="1022">
        <v>4</v>
      </c>
      <c r="L46" s="1023">
        <v>2</v>
      </c>
      <c r="M46" s="1023"/>
      <c r="N46" s="1459">
        <v>1</v>
      </c>
      <c r="O46" s="198">
        <f t="shared" si="33"/>
        <v>249</v>
      </c>
      <c r="P46" s="673">
        <f t="shared" si="8"/>
        <v>30</v>
      </c>
      <c r="Q46" s="162" t="str">
        <f t="shared" si="27"/>
        <v>NO</v>
      </c>
      <c r="R46" s="670" t="str">
        <f t="shared" si="28"/>
        <v/>
      </c>
      <c r="S46" s="128"/>
    </row>
    <row r="47" spans="1:19" ht="18.75" x14ac:dyDescent="0.25">
      <c r="A47" s="25" t="s">
        <v>101</v>
      </c>
      <c r="B47" s="151">
        <v>1723</v>
      </c>
      <c r="C47" s="71" t="s">
        <v>84</v>
      </c>
      <c r="D47" s="127" t="s">
        <v>12</v>
      </c>
      <c r="E47" s="47" t="s">
        <v>5</v>
      </c>
      <c r="F47" s="48" t="e">
        <f t="shared" si="32"/>
        <v>#N/A</v>
      </c>
      <c r="G47" s="1022">
        <v>2</v>
      </c>
      <c r="H47" s="1022">
        <v>3</v>
      </c>
      <c r="I47" s="1022">
        <v>9</v>
      </c>
      <c r="J47" s="1022">
        <v>7</v>
      </c>
      <c r="K47" s="1022">
        <v>5</v>
      </c>
      <c r="L47" s="1023">
        <v>2</v>
      </c>
      <c r="M47" s="1023">
        <v>1</v>
      </c>
      <c r="N47" s="1459">
        <v>1</v>
      </c>
      <c r="O47" s="198">
        <f t="shared" si="33"/>
        <v>239</v>
      </c>
      <c r="P47" s="673">
        <f t="shared" si="8"/>
        <v>30</v>
      </c>
      <c r="Q47" s="162" t="str">
        <f t="shared" si="27"/>
        <v>NO</v>
      </c>
      <c r="R47" s="670" t="str">
        <f t="shared" si="28"/>
        <v/>
      </c>
      <c r="S47" s="128"/>
    </row>
    <row r="48" spans="1:19" ht="18.75" x14ac:dyDescent="0.25">
      <c r="A48" s="25" t="s">
        <v>101</v>
      </c>
      <c r="B48" s="151">
        <v>1764</v>
      </c>
      <c r="C48" s="260" t="s">
        <v>264</v>
      </c>
      <c r="D48" s="127" t="s">
        <v>12</v>
      </c>
      <c r="E48" s="47" t="s">
        <v>5</v>
      </c>
      <c r="F48" s="48" t="e">
        <f t="shared" si="32"/>
        <v>#N/A</v>
      </c>
      <c r="G48" s="1022">
        <v>1</v>
      </c>
      <c r="H48" s="1022">
        <v>4</v>
      </c>
      <c r="I48" s="1022">
        <v>6</v>
      </c>
      <c r="J48" s="1022">
        <v>10</v>
      </c>
      <c r="K48" s="1022">
        <v>4</v>
      </c>
      <c r="L48" s="1023">
        <v>2</v>
      </c>
      <c r="M48" s="1023">
        <v>3</v>
      </c>
      <c r="N48" s="1459"/>
      <c r="O48" s="198">
        <f t="shared" si="33"/>
        <v>239</v>
      </c>
      <c r="P48" s="673">
        <f t="shared" si="8"/>
        <v>30</v>
      </c>
      <c r="Q48" s="162" t="str">
        <f t="shared" si="27"/>
        <v>NO</v>
      </c>
      <c r="R48" s="670" t="str">
        <f t="shared" si="28"/>
        <v/>
      </c>
      <c r="S48" s="128"/>
    </row>
    <row r="49" spans="1:19" ht="18.75" x14ac:dyDescent="0.25">
      <c r="A49" s="25" t="s">
        <v>101</v>
      </c>
      <c r="B49" s="151">
        <v>2361</v>
      </c>
      <c r="C49" s="260" t="s">
        <v>279</v>
      </c>
      <c r="D49" s="127" t="s">
        <v>12</v>
      </c>
      <c r="E49" s="47" t="s">
        <v>5</v>
      </c>
      <c r="F49" s="48" t="e">
        <f t="shared" si="32"/>
        <v>#N/A</v>
      </c>
      <c r="G49" s="1022">
        <v>1</v>
      </c>
      <c r="H49" s="1022">
        <v>2</v>
      </c>
      <c r="I49" s="1022">
        <v>16</v>
      </c>
      <c r="J49" s="1022">
        <v>4</v>
      </c>
      <c r="K49" s="1022">
        <v>3</v>
      </c>
      <c r="L49" s="1023">
        <v>1</v>
      </c>
      <c r="M49" s="1023">
        <v>1</v>
      </c>
      <c r="N49" s="1459">
        <v>2</v>
      </c>
      <c r="O49" s="198">
        <f t="shared" si="33"/>
        <v>238</v>
      </c>
      <c r="P49" s="673">
        <f t="shared" si="8"/>
        <v>30</v>
      </c>
      <c r="Q49" s="162" t="str">
        <f t="shared" si="27"/>
        <v>NO</v>
      </c>
      <c r="R49" s="670" t="str">
        <f t="shared" si="28"/>
        <v/>
      </c>
      <c r="S49" s="128"/>
    </row>
    <row r="50" spans="1:19" ht="18.75" x14ac:dyDescent="0.25">
      <c r="A50" s="25" t="s">
        <v>101</v>
      </c>
      <c r="B50" s="151">
        <v>2500</v>
      </c>
      <c r="C50" s="71" t="s">
        <v>248</v>
      </c>
      <c r="D50" s="258" t="s">
        <v>12</v>
      </c>
      <c r="E50" s="47" t="s">
        <v>5</v>
      </c>
      <c r="F50" s="48" t="e">
        <f t="shared" si="32"/>
        <v>#N/A</v>
      </c>
      <c r="G50" s="1022">
        <v>1</v>
      </c>
      <c r="H50" s="1022">
        <v>1</v>
      </c>
      <c r="I50" s="1022">
        <v>11</v>
      </c>
      <c r="J50" s="1022">
        <v>8</v>
      </c>
      <c r="K50" s="1022">
        <v>6</v>
      </c>
      <c r="L50" s="1023">
        <v>2</v>
      </c>
      <c r="M50" s="1023"/>
      <c r="N50" s="1459">
        <v>1</v>
      </c>
      <c r="O50" s="198">
        <f t="shared" si="33"/>
        <v>237</v>
      </c>
      <c r="P50" s="673">
        <f t="shared" si="8"/>
        <v>30</v>
      </c>
      <c r="Q50" s="162" t="str">
        <f t="shared" si="27"/>
        <v>NO</v>
      </c>
      <c r="R50" s="670" t="str">
        <f t="shared" si="28"/>
        <v/>
      </c>
      <c r="S50" s="128"/>
    </row>
    <row r="51" spans="1:19" ht="18.75" x14ac:dyDescent="0.25">
      <c r="A51" s="25" t="s">
        <v>101</v>
      </c>
      <c r="B51" s="151">
        <v>2239</v>
      </c>
      <c r="C51" s="71" t="s">
        <v>190</v>
      </c>
      <c r="D51" s="258" t="s">
        <v>12</v>
      </c>
      <c r="E51" s="47" t="s">
        <v>5</v>
      </c>
      <c r="F51" s="48" t="e">
        <f t="shared" si="32"/>
        <v>#N/A</v>
      </c>
      <c r="G51" s="1022">
        <v>0</v>
      </c>
      <c r="H51" s="1022">
        <v>2</v>
      </c>
      <c r="I51" s="1022">
        <v>9</v>
      </c>
      <c r="J51" s="1022">
        <v>8</v>
      </c>
      <c r="K51" s="1022">
        <v>3</v>
      </c>
      <c r="L51" s="1023">
        <v>5</v>
      </c>
      <c r="M51" s="1023">
        <v>2</v>
      </c>
      <c r="N51" s="1459">
        <v>1</v>
      </c>
      <c r="O51" s="198">
        <f t="shared" si="33"/>
        <v>226</v>
      </c>
      <c r="P51" s="673">
        <f t="shared" si="8"/>
        <v>30</v>
      </c>
      <c r="Q51" s="162" t="str">
        <f t="shared" si="27"/>
        <v>NO</v>
      </c>
      <c r="R51" s="670" t="str">
        <f t="shared" si="28"/>
        <v/>
      </c>
      <c r="S51" s="128"/>
    </row>
    <row r="52" spans="1:19" ht="18.75" x14ac:dyDescent="0.25">
      <c r="A52" s="25" t="s">
        <v>101</v>
      </c>
      <c r="B52" s="151">
        <v>2233</v>
      </c>
      <c r="C52" s="71" t="s">
        <v>195</v>
      </c>
      <c r="D52" s="127" t="s">
        <v>12</v>
      </c>
      <c r="E52" s="47" t="s">
        <v>5</v>
      </c>
      <c r="F52" s="48" t="e">
        <f t="shared" si="32"/>
        <v>#N/A</v>
      </c>
      <c r="G52" s="1022">
        <v>1</v>
      </c>
      <c r="H52" s="1022">
        <v>0</v>
      </c>
      <c r="I52" s="1022">
        <v>6</v>
      </c>
      <c r="J52" s="1022">
        <v>11</v>
      </c>
      <c r="K52" s="1022">
        <v>3</v>
      </c>
      <c r="L52" s="1023">
        <v>3</v>
      </c>
      <c r="M52" s="1023">
        <v>5</v>
      </c>
      <c r="N52" s="1459">
        <v>1</v>
      </c>
      <c r="O52" s="198">
        <f t="shared" si="33"/>
        <v>216</v>
      </c>
      <c r="P52" s="673">
        <f t="shared" ref="P52" si="36">SUM(G52:N52)</f>
        <v>30</v>
      </c>
      <c r="Q52" s="162" t="str">
        <f t="shared" ref="Q52" si="37">IF(O52&gt;270,"Yes","NO")</f>
        <v>NO</v>
      </c>
      <c r="R52" s="670" t="str">
        <f t="shared" si="28"/>
        <v/>
      </c>
      <c r="S52" s="128"/>
    </row>
    <row r="53" spans="1:19" ht="18.75" x14ac:dyDescent="0.25">
      <c r="A53" s="25" t="s">
        <v>101</v>
      </c>
      <c r="B53" s="151">
        <v>569</v>
      </c>
      <c r="C53" s="260" t="s">
        <v>179</v>
      </c>
      <c r="D53" s="127" t="s">
        <v>12</v>
      </c>
      <c r="E53" s="47" t="s">
        <v>5</v>
      </c>
      <c r="F53" s="48" t="e">
        <f t="shared" si="32"/>
        <v>#N/A</v>
      </c>
      <c r="G53" s="1022">
        <v>0</v>
      </c>
      <c r="H53" s="1022">
        <v>0</v>
      </c>
      <c r="I53" s="1022">
        <v>8</v>
      </c>
      <c r="J53" s="1022">
        <v>6</v>
      </c>
      <c r="K53" s="1022">
        <v>7</v>
      </c>
      <c r="L53" s="1023">
        <v>4</v>
      </c>
      <c r="M53" s="1023">
        <v>2</v>
      </c>
      <c r="N53" s="1459">
        <v>3</v>
      </c>
      <c r="O53" s="198">
        <f t="shared" si="33"/>
        <v>203</v>
      </c>
      <c r="P53" s="673">
        <f>SUM(G53:N53)</f>
        <v>30</v>
      </c>
      <c r="Q53" s="162" t="str">
        <f t="shared" si="27"/>
        <v>NO</v>
      </c>
      <c r="R53" s="670" t="str">
        <f t="shared" si="28"/>
        <v/>
      </c>
      <c r="S53" s="128"/>
    </row>
    <row r="54" spans="1:19" ht="18.75" x14ac:dyDescent="0.25">
      <c r="A54" s="25" t="s">
        <v>101</v>
      </c>
      <c r="B54" s="151">
        <v>2502</v>
      </c>
      <c r="C54" s="71" t="s">
        <v>213</v>
      </c>
      <c r="D54" s="127" t="s">
        <v>12</v>
      </c>
      <c r="E54" s="47" t="s">
        <v>5</v>
      </c>
      <c r="F54" s="48" t="e">
        <f t="shared" si="32"/>
        <v>#N/A</v>
      </c>
      <c r="G54" s="1022">
        <v>2</v>
      </c>
      <c r="H54" s="1022">
        <v>0</v>
      </c>
      <c r="I54" s="1022">
        <v>7</v>
      </c>
      <c r="J54" s="1022">
        <v>7</v>
      </c>
      <c r="K54" s="1022">
        <v>7</v>
      </c>
      <c r="L54" s="1023">
        <v>0</v>
      </c>
      <c r="M54" s="1023">
        <v>0</v>
      </c>
      <c r="N54" s="1459">
        <v>7</v>
      </c>
      <c r="O54" s="198">
        <f t="shared" si="33"/>
        <v>188</v>
      </c>
      <c r="P54" s="673">
        <f t="shared" ref="P54:P56" si="38">SUM(G54:N54)</f>
        <v>30</v>
      </c>
      <c r="Q54" s="162" t="str">
        <f t="shared" si="27"/>
        <v>NO</v>
      </c>
      <c r="R54" s="670" t="str">
        <f t="shared" si="28"/>
        <v/>
      </c>
      <c r="S54" s="128"/>
    </row>
    <row r="55" spans="1:19" ht="18.75" x14ac:dyDescent="0.25">
      <c r="A55" s="25" t="s">
        <v>101</v>
      </c>
      <c r="B55" s="151">
        <v>2578</v>
      </c>
      <c r="C55" s="71" t="s">
        <v>251</v>
      </c>
      <c r="D55" s="127" t="s">
        <v>12</v>
      </c>
      <c r="E55" s="47" t="s">
        <v>5</v>
      </c>
      <c r="F55" s="48" t="e">
        <f t="shared" si="32"/>
        <v>#N/A</v>
      </c>
      <c r="G55" s="1022">
        <v>0</v>
      </c>
      <c r="H55" s="1022">
        <v>2</v>
      </c>
      <c r="I55" s="1022">
        <v>6</v>
      </c>
      <c r="J55" s="1022">
        <v>6</v>
      </c>
      <c r="K55" s="1022">
        <v>4</v>
      </c>
      <c r="L55" s="1023">
        <v>4</v>
      </c>
      <c r="M55" s="1023">
        <v>2</v>
      </c>
      <c r="N55" s="1459">
        <v>6</v>
      </c>
      <c r="O55" s="198">
        <f t="shared" si="33"/>
        <v>184</v>
      </c>
      <c r="P55" s="233">
        <f>SUM(G55:N55)</f>
        <v>30</v>
      </c>
      <c r="Q55" s="166"/>
      <c r="R55" s="670"/>
      <c r="S55" s="128"/>
    </row>
    <row r="56" spans="1:19" ht="18.75" x14ac:dyDescent="0.25">
      <c r="A56" s="25" t="s">
        <v>101</v>
      </c>
      <c r="B56" s="151">
        <v>1984</v>
      </c>
      <c r="C56" s="71" t="s">
        <v>75</v>
      </c>
      <c r="D56" s="127" t="s">
        <v>12</v>
      </c>
      <c r="E56" s="47" t="s">
        <v>5</v>
      </c>
      <c r="F56" s="48" t="e">
        <f t="shared" si="32"/>
        <v>#N/A</v>
      </c>
      <c r="G56" s="1020">
        <v>0</v>
      </c>
      <c r="H56" s="1020">
        <v>1</v>
      </c>
      <c r="I56" s="1020">
        <v>3</v>
      </c>
      <c r="J56" s="1020">
        <v>6</v>
      </c>
      <c r="K56" s="1020">
        <v>5</v>
      </c>
      <c r="L56" s="1021">
        <v>8</v>
      </c>
      <c r="M56" s="1021">
        <v>2</v>
      </c>
      <c r="N56" s="1228">
        <v>5</v>
      </c>
      <c r="O56" s="198">
        <f t="shared" si="33"/>
        <v>178</v>
      </c>
      <c r="P56" s="673">
        <f t="shared" si="38"/>
        <v>30</v>
      </c>
      <c r="Q56" s="162" t="str">
        <f t="shared" si="27"/>
        <v>NO</v>
      </c>
      <c r="R56" s="670" t="str">
        <f t="shared" si="28"/>
        <v/>
      </c>
      <c r="S56" s="128"/>
    </row>
    <row r="57" spans="1:19" ht="18.75" x14ac:dyDescent="0.25">
      <c r="A57" s="25" t="s">
        <v>101</v>
      </c>
      <c r="B57" s="1463">
        <v>1780</v>
      </c>
      <c r="C57" s="1465" t="s">
        <v>246</v>
      </c>
      <c r="D57" s="116" t="s">
        <v>8</v>
      </c>
      <c r="E57" s="73" t="s">
        <v>5</v>
      </c>
      <c r="F57" s="74" t="e">
        <f t="shared" si="32"/>
        <v>#N/A</v>
      </c>
      <c r="G57" s="915">
        <v>1</v>
      </c>
      <c r="H57" s="915">
        <v>1</v>
      </c>
      <c r="I57" s="915">
        <v>1</v>
      </c>
      <c r="J57" s="915">
        <v>3</v>
      </c>
      <c r="K57" s="915">
        <v>3</v>
      </c>
      <c r="L57" s="915">
        <v>7</v>
      </c>
      <c r="M57" s="1030">
        <v>3</v>
      </c>
      <c r="N57" s="1461">
        <v>11</v>
      </c>
      <c r="O57" s="198">
        <f t="shared" si="33"/>
        <v>131</v>
      </c>
      <c r="P57" s="233">
        <f>SUM(G57:N57)</f>
        <v>30</v>
      </c>
      <c r="Q57" s="166"/>
      <c r="R57" s="725"/>
      <c r="S57" s="85"/>
    </row>
    <row r="58" spans="1:19" ht="19.5" thickBot="1" x14ac:dyDescent="0.3">
      <c r="A58" s="25" t="s">
        <v>101</v>
      </c>
      <c r="B58" s="158" t="s">
        <v>249</v>
      </c>
      <c r="C58" s="1464" t="s">
        <v>250</v>
      </c>
      <c r="D58" s="109" t="s">
        <v>8</v>
      </c>
      <c r="E58" s="87" t="s">
        <v>5</v>
      </c>
      <c r="F58" s="88" t="e">
        <f t="shared" si="32"/>
        <v>#N/A</v>
      </c>
      <c r="G58" s="1027">
        <v>0</v>
      </c>
      <c r="H58" s="1027">
        <v>0</v>
      </c>
      <c r="I58" s="1027">
        <v>4</v>
      </c>
      <c r="J58" s="1027">
        <v>3</v>
      </c>
      <c r="K58" s="1027">
        <v>3</v>
      </c>
      <c r="L58" s="1028">
        <v>4</v>
      </c>
      <c r="M58" s="1028">
        <v>1</v>
      </c>
      <c r="N58" s="1462">
        <v>15</v>
      </c>
      <c r="O58" s="726">
        <f t="shared" si="33"/>
        <v>110</v>
      </c>
      <c r="P58" s="1017">
        <f>SUM(G58:N58)</f>
        <v>30</v>
      </c>
      <c r="Q58" s="121" t="str">
        <f>IF(O58&gt;294,"Yes","NO")</f>
        <v>NO</v>
      </c>
      <c r="R58" s="672"/>
      <c r="S58" s="91"/>
    </row>
    <row r="59" spans="1:19" ht="19.5" thickBot="1" x14ac:dyDescent="0.3">
      <c r="A59" s="3"/>
      <c r="B59" s="188">
        <f>COUNT(B11:B56)</f>
        <v>46</v>
      </c>
      <c r="C59" s="1661" t="s">
        <v>34</v>
      </c>
      <c r="D59" s="1662"/>
      <c r="E59" s="1652" t="s">
        <v>99</v>
      </c>
      <c r="F59" s="1653"/>
      <c r="G59" s="1653"/>
      <c r="H59" s="1653"/>
      <c r="I59" s="1653"/>
      <c r="J59" s="1653"/>
      <c r="K59" s="1653"/>
      <c r="L59" s="1653"/>
      <c r="M59" s="1653"/>
      <c r="N59" s="1653"/>
      <c r="O59" s="1653"/>
      <c r="P59" s="1654"/>
      <c r="Q59" s="3"/>
      <c r="R59" s="622"/>
      <c r="S59" s="3"/>
    </row>
    <row r="60" spans="1:19" ht="15.75" x14ac:dyDescent="0.25">
      <c r="A60" s="3"/>
      <c r="B60" s="4"/>
      <c r="C60" s="261"/>
      <c r="D60" s="261"/>
      <c r="E60" s="6"/>
      <c r="F60" s="261"/>
      <c r="G60" s="262"/>
      <c r="H60" s="262"/>
      <c r="I60" s="262"/>
      <c r="J60" s="262"/>
      <c r="K60" s="262"/>
      <c r="L60" s="263"/>
      <c r="M60" s="263"/>
      <c r="N60" s="8"/>
      <c r="O60" s="262"/>
      <c r="P60" s="264"/>
      <c r="Q60" s="3"/>
      <c r="R60" s="622"/>
      <c r="S60" s="3"/>
    </row>
  </sheetData>
  <sortState ref="B8:O10">
    <sortCondition descending="1" ref="O8"/>
  </sortState>
  <mergeCells count="5">
    <mergeCell ref="B4:R4"/>
    <mergeCell ref="C6:O6"/>
    <mergeCell ref="C59:D59"/>
    <mergeCell ref="E59:P59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7"/>
  <sheetViews>
    <sheetView topLeftCell="A10" zoomScale="90" zoomScaleNormal="90" workbookViewId="0">
      <selection activeCell="C21" sqref="C21"/>
    </sheetView>
  </sheetViews>
  <sheetFormatPr defaultRowHeight="15" x14ac:dyDescent="0.25"/>
  <cols>
    <col min="1" max="1" width="6" customWidth="1"/>
    <col min="3" max="3" width="27" customWidth="1"/>
    <col min="17" max="17" width="8.85546875" style="625"/>
  </cols>
  <sheetData>
    <row r="1" spans="1:19" ht="15.75" thickBot="1" x14ac:dyDescent="0.3"/>
    <row r="2" spans="1:19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</row>
    <row r="3" spans="1:19" ht="16.5" thickBot="1" x14ac:dyDescent="0.3">
      <c r="A3" s="3"/>
      <c r="B3" s="4"/>
      <c r="C3" s="5"/>
      <c r="D3" s="5"/>
      <c r="E3" s="6"/>
      <c r="F3" s="7"/>
      <c r="G3" s="7"/>
      <c r="H3" s="7"/>
      <c r="I3" s="7"/>
      <c r="J3" s="7"/>
      <c r="K3" s="8"/>
      <c r="L3" s="9"/>
      <c r="M3" s="8"/>
      <c r="N3" s="4"/>
      <c r="O3" s="10"/>
      <c r="P3" s="3"/>
      <c r="Q3" s="622"/>
      <c r="R3" s="3"/>
    </row>
    <row r="4" spans="1:19" ht="24" thickBot="1" x14ac:dyDescent="0.3">
      <c r="A4" s="11"/>
      <c r="B4" s="1590" t="s">
        <v>173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2"/>
      <c r="R4" s="11"/>
    </row>
    <row r="5" spans="1:19" ht="16.5" thickBot="1" x14ac:dyDescent="0.3">
      <c r="A5" s="3"/>
      <c r="B5" s="4"/>
      <c r="C5" s="5"/>
      <c r="D5" s="5"/>
      <c r="E5" s="6"/>
      <c r="F5" s="7"/>
      <c r="G5" s="7"/>
      <c r="H5" s="7"/>
      <c r="I5" s="7"/>
      <c r="J5" s="7"/>
      <c r="K5" s="8"/>
      <c r="L5" s="9"/>
      <c r="M5" s="8"/>
      <c r="N5" s="4"/>
      <c r="O5" s="10"/>
      <c r="P5" s="3"/>
      <c r="Q5" s="622"/>
      <c r="R5" s="3"/>
    </row>
    <row r="6" spans="1:19" ht="27" thickBot="1" x14ac:dyDescent="0.3">
      <c r="A6" s="3"/>
      <c r="B6" s="4"/>
      <c r="C6" s="1601" t="s">
        <v>103</v>
      </c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3"/>
      <c r="O6" s="10"/>
      <c r="P6" s="3"/>
      <c r="Q6" s="622"/>
      <c r="R6" s="3"/>
    </row>
    <row r="7" spans="1:19" ht="32.25" thickBot="1" x14ac:dyDescent="0.3">
      <c r="A7" s="14"/>
      <c r="B7" s="306" t="s">
        <v>17</v>
      </c>
      <c r="C7" s="68" t="s">
        <v>18</v>
      </c>
      <c r="D7" s="837" t="s">
        <v>19</v>
      </c>
      <c r="E7" s="269" t="s">
        <v>20</v>
      </c>
      <c r="F7" s="1000" t="s">
        <v>21</v>
      </c>
      <c r="G7" s="1000">
        <v>10</v>
      </c>
      <c r="H7" s="1000">
        <v>9</v>
      </c>
      <c r="I7" s="1000">
        <v>8</v>
      </c>
      <c r="J7" s="1000">
        <v>7</v>
      </c>
      <c r="K7" s="1000">
        <v>6</v>
      </c>
      <c r="L7" s="1001">
        <v>5</v>
      </c>
      <c r="M7" s="1002">
        <v>0</v>
      </c>
      <c r="N7" s="838" t="s">
        <v>22</v>
      </c>
      <c r="O7" s="731" t="s">
        <v>42</v>
      </c>
      <c r="P7" s="685" t="s">
        <v>24</v>
      </c>
      <c r="Q7" s="623" t="s">
        <v>25</v>
      </c>
      <c r="R7" s="82" t="s">
        <v>26</v>
      </c>
    </row>
    <row r="8" spans="1:19" ht="19.5" thickBot="1" x14ac:dyDescent="0.3">
      <c r="A8" s="25" t="s">
        <v>104</v>
      </c>
      <c r="B8" s="306">
        <v>2149</v>
      </c>
      <c r="C8" s="68" t="s">
        <v>273</v>
      </c>
      <c r="D8" s="144" t="s">
        <v>61</v>
      </c>
      <c r="E8" s="312" t="s">
        <v>13</v>
      </c>
      <c r="F8" s="1486">
        <v>12</v>
      </c>
      <c r="G8" s="1000">
        <v>14</v>
      </c>
      <c r="H8" s="1000">
        <v>2</v>
      </c>
      <c r="I8" s="1000">
        <v>2</v>
      </c>
      <c r="J8" s="1000"/>
      <c r="K8" s="1000"/>
      <c r="L8" s="1001"/>
      <c r="M8" s="1002"/>
      <c r="N8" s="838">
        <f t="shared" ref="N8" si="0">(F8*10)+(G8*10)+(H8*9)+(I8*8)+(J8*7)+(K8*6)+(L8*5)</f>
        <v>294</v>
      </c>
      <c r="O8" s="1079">
        <f t="shared" ref="O8" si="1">SUM(F8:M8)</f>
        <v>30</v>
      </c>
      <c r="P8" s="621" t="str">
        <f t="shared" ref="P8" si="2">IF(N8&gt;289,"Yes","NO")</f>
        <v>Yes</v>
      </c>
      <c r="Q8" s="1080"/>
      <c r="R8" s="1081"/>
    </row>
    <row r="9" spans="1:19" ht="19.5" thickBot="1" x14ac:dyDescent="0.3">
      <c r="A9" s="25" t="s">
        <v>104</v>
      </c>
      <c r="B9" s="306">
        <v>1266</v>
      </c>
      <c r="C9" s="68" t="s">
        <v>223</v>
      </c>
      <c r="D9" s="1296" t="s">
        <v>11</v>
      </c>
      <c r="E9" s="312" t="s">
        <v>3</v>
      </c>
      <c r="F9" s="1486">
        <v>8</v>
      </c>
      <c r="G9" s="1000">
        <v>14</v>
      </c>
      <c r="H9" s="1000">
        <v>6</v>
      </c>
      <c r="I9" s="1000">
        <v>2</v>
      </c>
      <c r="J9" s="1000"/>
      <c r="K9" s="1000"/>
      <c r="L9" s="1001"/>
      <c r="M9" s="1002"/>
      <c r="N9" s="838">
        <f t="shared" ref="N9" si="3">(F9*10)+(G9*10)+(H9*9)+(I9*8)+(J9*7)+(K9*6)+(L9*5)</f>
        <v>290</v>
      </c>
      <c r="O9" s="1079">
        <f t="shared" ref="O9" si="4">SUM(F9:M9)</f>
        <v>30</v>
      </c>
      <c r="P9" s="621" t="str">
        <f t="shared" ref="P9" si="5">IF(N9&gt;289,"Yes","NO")</f>
        <v>Yes</v>
      </c>
      <c r="Q9" s="1080"/>
      <c r="R9" s="1081"/>
    </row>
    <row r="10" spans="1:19" ht="18.75" x14ac:dyDescent="0.25">
      <c r="A10" s="25" t="s">
        <v>104</v>
      </c>
      <c r="B10" s="906">
        <v>1041</v>
      </c>
      <c r="C10" s="587" t="s">
        <v>202</v>
      </c>
      <c r="D10" s="117" t="s">
        <v>11</v>
      </c>
      <c r="E10" s="844" t="s">
        <v>4</v>
      </c>
      <c r="F10" s="846">
        <v>11</v>
      </c>
      <c r="G10" s="283">
        <v>13</v>
      </c>
      <c r="H10" s="283">
        <v>5</v>
      </c>
      <c r="I10" s="283">
        <v>1</v>
      </c>
      <c r="J10" s="283"/>
      <c r="K10" s="284"/>
      <c r="L10" s="1008"/>
      <c r="M10" s="285"/>
      <c r="N10" s="537">
        <f t="shared" ref="N10:N16" si="6">(F10*10)+(G10*10)+(H10*9)+(I10*8)+(J10*7)+(K10*6)+(L10*5)</f>
        <v>293</v>
      </c>
      <c r="O10" s="723">
        <f t="shared" ref="O10" si="7">SUM(F10:M10)</f>
        <v>30</v>
      </c>
      <c r="P10" s="118" t="str">
        <f t="shared" ref="P10:P13" si="8">IF(N10&gt;289,"Yes","NO")</f>
        <v>Yes</v>
      </c>
      <c r="Q10" s="683"/>
      <c r="R10" s="684"/>
    </row>
    <row r="11" spans="1:19" ht="18.75" x14ac:dyDescent="0.25">
      <c r="A11" s="25" t="s">
        <v>104</v>
      </c>
      <c r="B11" s="1487">
        <v>1901</v>
      </c>
      <c r="C11" s="1489" t="s">
        <v>38</v>
      </c>
      <c r="D11" s="778" t="s">
        <v>11</v>
      </c>
      <c r="E11" s="829" t="s">
        <v>4</v>
      </c>
      <c r="F11" s="253">
        <v>9</v>
      </c>
      <c r="G11" s="254">
        <v>10</v>
      </c>
      <c r="H11" s="254">
        <v>5</v>
      </c>
      <c r="I11" s="254">
        <v>3</v>
      </c>
      <c r="J11" s="254">
        <v>1</v>
      </c>
      <c r="K11" s="255">
        <v>2</v>
      </c>
      <c r="L11" s="902"/>
      <c r="M11" s="903"/>
      <c r="N11" s="537">
        <f t="shared" si="6"/>
        <v>278</v>
      </c>
      <c r="O11" s="723">
        <f t="shared" ref="O11" si="9">SUM(F11:M11)</f>
        <v>30</v>
      </c>
      <c r="P11" s="118" t="str">
        <f t="shared" ref="P11" si="10">IF(N11&gt;289,"Yes","NO")</f>
        <v>NO</v>
      </c>
      <c r="Q11" s="904"/>
      <c r="R11" s="905"/>
    </row>
    <row r="12" spans="1:19" ht="19.5" thickBot="1" x14ac:dyDescent="0.3">
      <c r="A12" s="25" t="s">
        <v>104</v>
      </c>
      <c r="B12" s="296">
        <v>2138</v>
      </c>
      <c r="C12" s="1488" t="s">
        <v>291</v>
      </c>
      <c r="D12" s="298" t="s">
        <v>8</v>
      </c>
      <c r="E12" s="847" t="s">
        <v>4</v>
      </c>
      <c r="F12" s="848">
        <v>6</v>
      </c>
      <c r="G12" s="299">
        <v>9</v>
      </c>
      <c r="H12" s="299">
        <v>10</v>
      </c>
      <c r="I12" s="299">
        <v>4</v>
      </c>
      <c r="J12" s="299">
        <v>0</v>
      </c>
      <c r="K12" s="300">
        <v>1</v>
      </c>
      <c r="L12" s="301"/>
      <c r="M12" s="302"/>
      <c r="N12" s="1006">
        <f t="shared" si="6"/>
        <v>278</v>
      </c>
      <c r="O12" s="1007">
        <f t="shared" ref="O12:O26" si="11">SUM(F12:M12)</f>
        <v>30</v>
      </c>
      <c r="P12" s="520" t="str">
        <f t="shared" si="8"/>
        <v>NO</v>
      </c>
      <c r="Q12" s="680" t="str">
        <f t="shared" ref="Q12" si="12">IF(P12="yes","M","")</f>
        <v/>
      </c>
      <c r="R12" s="681"/>
    </row>
    <row r="13" spans="1:19" ht="18.75" x14ac:dyDescent="0.25">
      <c r="A13" s="25" t="s">
        <v>104</v>
      </c>
      <c r="B13" s="273">
        <v>1798</v>
      </c>
      <c r="C13" s="310" t="s">
        <v>60</v>
      </c>
      <c r="D13" s="274" t="s">
        <v>7</v>
      </c>
      <c r="E13" s="275" t="s">
        <v>105</v>
      </c>
      <c r="F13" s="276">
        <v>8</v>
      </c>
      <c r="G13" s="277">
        <v>12</v>
      </c>
      <c r="H13" s="277">
        <v>6</v>
      </c>
      <c r="I13" s="277">
        <v>4</v>
      </c>
      <c r="J13" s="277"/>
      <c r="K13" s="278"/>
      <c r="L13" s="279"/>
      <c r="M13" s="280"/>
      <c r="N13" s="281">
        <f t="shared" si="6"/>
        <v>286</v>
      </c>
      <c r="O13" s="658">
        <f t="shared" si="11"/>
        <v>30</v>
      </c>
      <c r="P13" s="399" t="str">
        <f t="shared" si="8"/>
        <v>NO</v>
      </c>
      <c r="Q13" s="675" t="str">
        <f>IF(P13="yes","G","")</f>
        <v/>
      </c>
      <c r="R13" s="676"/>
    </row>
    <row r="14" spans="1:19" ht="18.75" x14ac:dyDescent="0.25">
      <c r="A14" s="25" t="s">
        <v>104</v>
      </c>
      <c r="B14" s="296">
        <v>1291</v>
      </c>
      <c r="C14" s="899" t="s">
        <v>82</v>
      </c>
      <c r="D14" s="778" t="s">
        <v>7</v>
      </c>
      <c r="E14" s="900" t="s">
        <v>105</v>
      </c>
      <c r="F14" s="901"/>
      <c r="G14" s="254">
        <v>12</v>
      </c>
      <c r="H14" s="254">
        <v>13</v>
      </c>
      <c r="I14" s="254">
        <v>5</v>
      </c>
      <c r="J14" s="254"/>
      <c r="K14" s="255"/>
      <c r="L14" s="902"/>
      <c r="M14" s="903"/>
      <c r="N14" s="1082">
        <f t="shared" si="6"/>
        <v>277</v>
      </c>
      <c r="O14" s="907">
        <f t="shared" ref="O14" si="13">SUM(F14:M14)</f>
        <v>30</v>
      </c>
      <c r="P14" s="520" t="str">
        <f>IF(N14&gt;289,"Yes","NO")</f>
        <v>NO</v>
      </c>
      <c r="Q14" s="904"/>
      <c r="R14" s="905"/>
    </row>
    <row r="15" spans="1:19" ht="18.75" x14ac:dyDescent="0.25">
      <c r="A15" s="25" t="s">
        <v>104</v>
      </c>
      <c r="B15" s="296">
        <v>1170</v>
      </c>
      <c r="C15" s="297" t="s">
        <v>225</v>
      </c>
      <c r="D15" s="298" t="s">
        <v>11</v>
      </c>
      <c r="E15" s="1136" t="s">
        <v>105</v>
      </c>
      <c r="F15" s="1137">
        <v>1</v>
      </c>
      <c r="G15" s="299">
        <v>5</v>
      </c>
      <c r="H15" s="299">
        <v>9</v>
      </c>
      <c r="I15" s="299">
        <v>8</v>
      </c>
      <c r="J15" s="299">
        <v>5</v>
      </c>
      <c r="K15" s="300">
        <v>1</v>
      </c>
      <c r="L15" s="301"/>
      <c r="M15" s="302">
        <v>1</v>
      </c>
      <c r="N15" s="198">
        <f t="shared" si="6"/>
        <v>246</v>
      </c>
      <c r="O15" s="538">
        <f t="shared" ref="O15" si="14">SUM(F15:M15)</f>
        <v>30</v>
      </c>
      <c r="P15" s="162" t="str">
        <f>IF(N15&gt;289,"Yes","NO")</f>
        <v>NO</v>
      </c>
      <c r="Q15" s="680"/>
      <c r="R15" s="681"/>
    </row>
    <row r="16" spans="1:19" ht="18.75" x14ac:dyDescent="0.25">
      <c r="A16" s="25" t="s">
        <v>104</v>
      </c>
      <c r="B16" s="240">
        <v>309</v>
      </c>
      <c r="C16" s="309" t="s">
        <v>235</v>
      </c>
      <c r="D16" s="90" t="s">
        <v>10</v>
      </c>
      <c r="E16" s="1003" t="s">
        <v>105</v>
      </c>
      <c r="F16" s="1004">
        <v>3</v>
      </c>
      <c r="G16" s="287">
        <v>3</v>
      </c>
      <c r="H16" s="287">
        <v>11</v>
      </c>
      <c r="I16" s="287">
        <v>4</v>
      </c>
      <c r="J16" s="287">
        <v>4</v>
      </c>
      <c r="K16" s="288">
        <v>1</v>
      </c>
      <c r="L16" s="289">
        <v>1</v>
      </c>
      <c r="M16" s="290"/>
      <c r="N16" s="198">
        <f t="shared" si="6"/>
        <v>230</v>
      </c>
      <c r="O16" s="538">
        <f t="shared" ref="O16" si="15">SUM(F16:M16)</f>
        <v>27</v>
      </c>
      <c r="P16" s="162" t="str">
        <f>IF(N16&gt;289,"Yes","NO")</f>
        <v>NO</v>
      </c>
      <c r="Q16" s="674"/>
      <c r="R16" s="677"/>
    </row>
    <row r="17" spans="1:18" ht="19.5" thickBot="1" x14ac:dyDescent="0.3">
      <c r="A17" s="25" t="s">
        <v>104</v>
      </c>
      <c r="B17" s="1011">
        <v>1726</v>
      </c>
      <c r="C17" s="1012" t="s">
        <v>83</v>
      </c>
      <c r="D17" s="77" t="s">
        <v>12</v>
      </c>
      <c r="E17" s="843" t="s">
        <v>105</v>
      </c>
      <c r="F17" s="1013">
        <v>0</v>
      </c>
      <c r="G17" s="984">
        <v>2</v>
      </c>
      <c r="H17" s="984">
        <v>4</v>
      </c>
      <c r="I17" s="984">
        <v>10</v>
      </c>
      <c r="J17" s="984">
        <v>5</v>
      </c>
      <c r="K17" s="985">
        <v>4</v>
      </c>
      <c r="L17" s="1014">
        <v>2</v>
      </c>
      <c r="M17" s="1015">
        <v>3</v>
      </c>
      <c r="N17" s="1016">
        <f t="shared" ref="N17" si="16">(F17*10)+(G17*10)+(H17*9)+(I17*8)+(J17*7)+(K17*6)+(L17*5)</f>
        <v>205</v>
      </c>
      <c r="O17" s="1017">
        <f t="shared" si="11"/>
        <v>30</v>
      </c>
      <c r="P17" s="518" t="str">
        <f>IF(N17&gt;279,"Yes","NO")</f>
        <v>NO</v>
      </c>
      <c r="Q17" s="1018" t="str">
        <f>IF(P17="yes","S","")</f>
        <v/>
      </c>
      <c r="R17" s="1019"/>
    </row>
    <row r="18" spans="1:18" ht="18.75" x14ac:dyDescent="0.25">
      <c r="A18" s="25" t="s">
        <v>104</v>
      </c>
      <c r="B18" s="906">
        <v>1465</v>
      </c>
      <c r="C18" s="899" t="s">
        <v>244</v>
      </c>
      <c r="D18" s="778" t="s">
        <v>12</v>
      </c>
      <c r="E18" s="829" t="s">
        <v>5</v>
      </c>
      <c r="F18" s="846">
        <v>7</v>
      </c>
      <c r="G18" s="283">
        <v>10</v>
      </c>
      <c r="H18" s="283">
        <v>13</v>
      </c>
      <c r="I18" s="283"/>
      <c r="J18" s="283"/>
      <c r="K18" s="284"/>
      <c r="L18" s="1008"/>
      <c r="M18" s="285"/>
      <c r="N18" s="1009">
        <f t="shared" ref="N18:N26" si="17">(F18*10)+(G18*10)+(H18*9)+(I18*8)+(J18*7)+(K18*6)+(L18*5)</f>
        <v>287</v>
      </c>
      <c r="O18" s="1010">
        <f t="shared" si="11"/>
        <v>30</v>
      </c>
      <c r="P18" s="118" t="str">
        <f t="shared" ref="P18:P26" si="18">IF(N18&gt;279,"Yes","NO")</f>
        <v>Yes</v>
      </c>
      <c r="Q18" s="683" t="str">
        <f t="shared" ref="Q18:Q26" si="19">IF(P18="yes","S","")</f>
        <v>S</v>
      </c>
      <c r="R18" s="684"/>
    </row>
    <row r="19" spans="1:18" ht="18.75" x14ac:dyDescent="0.25">
      <c r="A19" s="25" t="s">
        <v>104</v>
      </c>
      <c r="B19" s="240">
        <v>1629</v>
      </c>
      <c r="C19" s="297" t="s">
        <v>226</v>
      </c>
      <c r="D19" s="308" t="s">
        <v>11</v>
      </c>
      <c r="E19" s="847" t="s">
        <v>5</v>
      </c>
      <c r="F19" s="845">
        <v>2</v>
      </c>
      <c r="G19" s="287">
        <v>7</v>
      </c>
      <c r="H19" s="287">
        <v>14</v>
      </c>
      <c r="I19" s="287">
        <v>5</v>
      </c>
      <c r="J19" s="287">
        <v>1</v>
      </c>
      <c r="K19" s="288">
        <v>1</v>
      </c>
      <c r="L19" s="289"/>
      <c r="M19" s="290"/>
      <c r="N19" s="303">
        <f t="shared" si="17"/>
        <v>269</v>
      </c>
      <c r="O19" s="673">
        <f t="shared" si="11"/>
        <v>30</v>
      </c>
      <c r="P19" s="162" t="str">
        <f t="shared" si="18"/>
        <v>NO</v>
      </c>
      <c r="Q19" s="674" t="str">
        <f t="shared" si="19"/>
        <v/>
      </c>
      <c r="R19" s="677"/>
    </row>
    <row r="20" spans="1:18" ht="18.75" x14ac:dyDescent="0.25">
      <c r="A20" s="25" t="s">
        <v>104</v>
      </c>
      <c r="B20" s="240">
        <v>1853</v>
      </c>
      <c r="C20" s="297" t="s">
        <v>40</v>
      </c>
      <c r="D20" s="308" t="s">
        <v>11</v>
      </c>
      <c r="E20" s="847" t="s">
        <v>5</v>
      </c>
      <c r="F20" s="846">
        <v>2</v>
      </c>
      <c r="G20" s="283">
        <v>4</v>
      </c>
      <c r="H20" s="283">
        <v>13</v>
      </c>
      <c r="I20" s="283">
        <v>10</v>
      </c>
      <c r="J20" s="287">
        <v>0</v>
      </c>
      <c r="K20" s="288">
        <v>0</v>
      </c>
      <c r="L20" s="289">
        <v>1</v>
      </c>
      <c r="M20" s="290">
        <v>0</v>
      </c>
      <c r="N20" s="303">
        <f t="shared" si="17"/>
        <v>262</v>
      </c>
      <c r="O20" s="673">
        <f t="shared" ref="O20:O21" si="20">SUM(F20:M20)</f>
        <v>30</v>
      </c>
      <c r="P20" s="162" t="str">
        <f t="shared" ref="P20:P21" si="21">IF(N20&gt;279,"Yes","NO")</f>
        <v>NO</v>
      </c>
      <c r="Q20" s="674"/>
      <c r="R20" s="677"/>
    </row>
    <row r="21" spans="1:18" ht="18.75" x14ac:dyDescent="0.25">
      <c r="A21" s="25" t="s">
        <v>104</v>
      </c>
      <c r="B21" s="240">
        <v>1982</v>
      </c>
      <c r="C21" s="574" t="s">
        <v>73</v>
      </c>
      <c r="D21" s="308" t="s">
        <v>12</v>
      </c>
      <c r="E21" s="847" t="s">
        <v>5</v>
      </c>
      <c r="F21" s="846">
        <v>3</v>
      </c>
      <c r="G21" s="283">
        <v>8</v>
      </c>
      <c r="H21" s="283">
        <v>8</v>
      </c>
      <c r="I21" s="283">
        <v>4</v>
      </c>
      <c r="J21" s="287">
        <v>2</v>
      </c>
      <c r="K21" s="288">
        <v>4</v>
      </c>
      <c r="L21" s="289"/>
      <c r="M21" s="290">
        <v>1</v>
      </c>
      <c r="N21" s="303">
        <f t="shared" si="17"/>
        <v>252</v>
      </c>
      <c r="O21" s="673">
        <f t="shared" si="20"/>
        <v>30</v>
      </c>
      <c r="P21" s="162" t="str">
        <f t="shared" si="21"/>
        <v>NO</v>
      </c>
      <c r="Q21" s="674"/>
      <c r="R21" s="677"/>
    </row>
    <row r="22" spans="1:18" ht="18.75" x14ac:dyDescent="0.25">
      <c r="A22" s="25" t="s">
        <v>104</v>
      </c>
      <c r="B22" s="240">
        <v>2040</v>
      </c>
      <c r="C22" s="297" t="s">
        <v>178</v>
      </c>
      <c r="D22" s="308" t="s">
        <v>11</v>
      </c>
      <c r="E22" s="847" t="s">
        <v>5</v>
      </c>
      <c r="F22" s="846">
        <v>0</v>
      </c>
      <c r="G22" s="283">
        <v>1</v>
      </c>
      <c r="H22" s="283">
        <v>11</v>
      </c>
      <c r="I22" s="283">
        <v>10</v>
      </c>
      <c r="J22" s="287">
        <v>7</v>
      </c>
      <c r="K22" s="288">
        <v>1</v>
      </c>
      <c r="L22" s="289"/>
      <c r="M22" s="290"/>
      <c r="N22" s="303">
        <f t="shared" si="17"/>
        <v>244</v>
      </c>
      <c r="O22" s="673">
        <f t="shared" ref="O22" si="22">SUM(F22:M22)</f>
        <v>30</v>
      </c>
      <c r="P22" s="162" t="str">
        <f t="shared" ref="P22" si="23">IF(N22&gt;279,"Yes","NO")</f>
        <v>NO</v>
      </c>
      <c r="Q22" s="674"/>
      <c r="R22" s="677"/>
    </row>
    <row r="23" spans="1:18" ht="18.75" x14ac:dyDescent="0.25">
      <c r="A23" s="25" t="s">
        <v>104</v>
      </c>
      <c r="B23" s="240">
        <v>1767</v>
      </c>
      <c r="C23" s="297" t="s">
        <v>224</v>
      </c>
      <c r="D23" s="308" t="s">
        <v>11</v>
      </c>
      <c r="E23" s="847" t="s">
        <v>5</v>
      </c>
      <c r="F23" s="846">
        <v>0</v>
      </c>
      <c r="G23" s="283">
        <v>4</v>
      </c>
      <c r="H23" s="283">
        <v>11</v>
      </c>
      <c r="I23" s="283">
        <v>6</v>
      </c>
      <c r="J23" s="287">
        <v>6</v>
      </c>
      <c r="K23" s="288">
        <v>1</v>
      </c>
      <c r="L23" s="289"/>
      <c r="M23" s="290">
        <v>2</v>
      </c>
      <c r="N23" s="303">
        <f t="shared" si="17"/>
        <v>235</v>
      </c>
      <c r="O23" s="673">
        <f t="shared" ref="O23" si="24">SUM(F23:M23)</f>
        <v>30</v>
      </c>
      <c r="P23" s="162" t="str">
        <f t="shared" ref="P23" si="25">IF(N23&gt;279,"Yes","NO")</f>
        <v>NO</v>
      </c>
      <c r="Q23" s="674"/>
      <c r="R23" s="677"/>
    </row>
    <row r="24" spans="1:18" ht="18.75" x14ac:dyDescent="0.25">
      <c r="A24" s="25" t="s">
        <v>104</v>
      </c>
      <c r="B24" s="240">
        <v>1268</v>
      </c>
      <c r="C24" s="297" t="s">
        <v>168</v>
      </c>
      <c r="D24" s="298" t="s">
        <v>8</v>
      </c>
      <c r="E24" s="847" t="s">
        <v>5</v>
      </c>
      <c r="F24" s="846">
        <v>2</v>
      </c>
      <c r="G24" s="283">
        <v>2</v>
      </c>
      <c r="H24" s="283">
        <v>9</v>
      </c>
      <c r="I24" s="283">
        <v>9</v>
      </c>
      <c r="J24" s="287">
        <v>3</v>
      </c>
      <c r="K24" s="288">
        <v>2</v>
      </c>
      <c r="L24" s="289"/>
      <c r="M24" s="290">
        <v>3</v>
      </c>
      <c r="N24" s="303">
        <f t="shared" si="17"/>
        <v>226</v>
      </c>
      <c r="O24" s="673">
        <f t="shared" ref="O24" si="26">SUM(F24:M24)</f>
        <v>30</v>
      </c>
      <c r="P24" s="162" t="str">
        <f t="shared" ref="P24" si="27">IF(N24&gt;279,"Yes","NO")</f>
        <v>NO</v>
      </c>
      <c r="Q24" s="674"/>
      <c r="R24" s="677"/>
    </row>
    <row r="25" spans="1:18" ht="18.75" x14ac:dyDescent="0.25">
      <c r="A25" s="25" t="s">
        <v>104</v>
      </c>
      <c r="B25" s="240">
        <v>638</v>
      </c>
      <c r="C25" s="309" t="s">
        <v>205</v>
      </c>
      <c r="D25" s="241" t="s">
        <v>12</v>
      </c>
      <c r="E25" s="120" t="s">
        <v>5</v>
      </c>
      <c r="F25" s="846">
        <v>1</v>
      </c>
      <c r="G25" s="283">
        <v>1</v>
      </c>
      <c r="H25" s="283">
        <v>7</v>
      </c>
      <c r="I25" s="283">
        <v>6</v>
      </c>
      <c r="J25" s="287">
        <v>6</v>
      </c>
      <c r="K25" s="288">
        <v>5</v>
      </c>
      <c r="L25" s="289">
        <v>3</v>
      </c>
      <c r="M25" s="290">
        <v>1</v>
      </c>
      <c r="N25" s="303">
        <f t="shared" si="17"/>
        <v>218</v>
      </c>
      <c r="O25" s="673">
        <f t="shared" si="11"/>
        <v>30</v>
      </c>
      <c r="P25" s="162" t="str">
        <f t="shared" si="18"/>
        <v>NO</v>
      </c>
      <c r="Q25" s="674" t="str">
        <f t="shared" si="19"/>
        <v/>
      </c>
      <c r="R25" s="677"/>
    </row>
    <row r="26" spans="1:18" ht="19.5" thickBot="1" x14ac:dyDescent="0.3">
      <c r="A26" s="25" t="s">
        <v>104</v>
      </c>
      <c r="B26" s="305">
        <v>1853</v>
      </c>
      <c r="C26" s="573" t="s">
        <v>77</v>
      </c>
      <c r="D26" s="291" t="s">
        <v>12</v>
      </c>
      <c r="E26" s="590" t="s">
        <v>5</v>
      </c>
      <c r="F26" s="591">
        <v>0</v>
      </c>
      <c r="G26" s="292">
        <v>2</v>
      </c>
      <c r="H26" s="292">
        <v>5</v>
      </c>
      <c r="I26" s="292">
        <v>5</v>
      </c>
      <c r="J26" s="292">
        <v>5</v>
      </c>
      <c r="K26" s="293">
        <v>2</v>
      </c>
      <c r="L26" s="294">
        <v>2</v>
      </c>
      <c r="M26" s="295">
        <v>9</v>
      </c>
      <c r="N26" s="303">
        <f t="shared" si="17"/>
        <v>162</v>
      </c>
      <c r="O26" s="682">
        <f t="shared" si="11"/>
        <v>30</v>
      </c>
      <c r="P26" s="121" t="str">
        <f t="shared" si="18"/>
        <v>NO</v>
      </c>
      <c r="Q26" s="678" t="str">
        <f t="shared" si="19"/>
        <v/>
      </c>
      <c r="R26" s="679"/>
    </row>
    <row r="27" spans="1:18" ht="19.5" thickBot="1" x14ac:dyDescent="0.3">
      <c r="A27" s="3"/>
      <c r="B27" s="188">
        <f>COUNT(B12:B26)</f>
        <v>15</v>
      </c>
      <c r="C27" s="1622" t="s">
        <v>34</v>
      </c>
      <c r="D27" s="1623"/>
      <c r="E27" s="1624" t="s">
        <v>79</v>
      </c>
      <c r="F27" s="1625"/>
      <c r="G27" s="1625"/>
      <c r="H27" s="1625"/>
      <c r="I27" s="1625"/>
      <c r="J27" s="1625"/>
      <c r="K27" s="1625"/>
      <c r="L27" s="1625"/>
      <c r="M27" s="1625"/>
      <c r="N27" s="1663"/>
      <c r="O27" s="1664"/>
      <c r="P27" s="3"/>
      <c r="Q27" s="622"/>
      <c r="R27" s="3"/>
    </row>
  </sheetData>
  <sortState ref="B18:N26">
    <sortCondition descending="1" ref="N18"/>
  </sortState>
  <mergeCells count="5">
    <mergeCell ref="B4:Q4"/>
    <mergeCell ref="C6:N6"/>
    <mergeCell ref="C27:D27"/>
    <mergeCell ref="E27:O27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4"/>
  <sheetViews>
    <sheetView topLeftCell="A2" zoomScale="90" zoomScaleNormal="90" workbookViewId="0">
      <selection activeCell="U17" sqref="U17"/>
    </sheetView>
  </sheetViews>
  <sheetFormatPr defaultRowHeight="15" x14ac:dyDescent="0.25"/>
  <cols>
    <col min="1" max="1" width="6.85546875" customWidth="1"/>
    <col min="3" max="3" width="24.42578125" customWidth="1"/>
    <col min="6" max="6" width="7.42578125" customWidth="1"/>
    <col min="7" max="8" width="7.28515625" customWidth="1"/>
    <col min="9" max="11" width="7.42578125" customWidth="1"/>
    <col min="12" max="12" width="7.7109375" customWidth="1"/>
    <col min="13" max="13" width="8" customWidth="1"/>
    <col min="19" max="19" width="1" customWidth="1"/>
  </cols>
  <sheetData>
    <row r="1" spans="1:19" ht="15.75" hidden="1" thickBot="1" x14ac:dyDescent="0.3"/>
    <row r="2" spans="1:19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</row>
    <row r="3" spans="1:19" ht="16.5" thickBot="1" x14ac:dyDescent="0.3">
      <c r="A3" s="3"/>
      <c r="B3" s="4"/>
      <c r="C3" s="5"/>
      <c r="D3" s="5"/>
      <c r="E3" s="6"/>
      <c r="F3" s="7"/>
      <c r="G3" s="7"/>
      <c r="H3" s="7"/>
      <c r="I3" s="7"/>
      <c r="J3" s="7"/>
      <c r="K3" s="8"/>
      <c r="L3" s="9"/>
      <c r="M3" s="8"/>
      <c r="N3" s="4"/>
      <c r="O3" s="10"/>
      <c r="P3" s="3"/>
      <c r="Q3" s="3"/>
      <c r="R3" s="3"/>
    </row>
    <row r="4" spans="1:19" ht="24" thickBot="1" x14ac:dyDescent="0.3">
      <c r="A4" s="11"/>
      <c r="B4" s="1590" t="s">
        <v>15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2"/>
      <c r="R4" s="11"/>
    </row>
    <row r="5" spans="1:19" ht="16.5" thickBot="1" x14ac:dyDescent="0.3">
      <c r="A5" s="3"/>
      <c r="B5" s="4"/>
      <c r="C5" s="5"/>
      <c r="D5" s="5"/>
      <c r="E5" s="6"/>
      <c r="F5" s="7"/>
      <c r="G5" s="7"/>
      <c r="H5" s="7"/>
      <c r="I5" s="7"/>
      <c r="J5" s="7"/>
      <c r="K5" s="8"/>
      <c r="L5" s="9"/>
      <c r="M5" s="8"/>
      <c r="N5" s="4"/>
      <c r="O5" s="10"/>
      <c r="P5" s="3"/>
      <c r="Q5" s="3"/>
      <c r="R5" s="3"/>
    </row>
    <row r="6" spans="1:19" ht="27" thickBot="1" x14ac:dyDescent="0.3">
      <c r="A6" s="3"/>
      <c r="B6" s="4"/>
      <c r="C6" s="1601" t="s">
        <v>106</v>
      </c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3"/>
      <c r="O6" s="10"/>
      <c r="P6" s="3"/>
      <c r="Q6" s="3"/>
      <c r="R6" s="3"/>
    </row>
    <row r="7" spans="1:19" ht="32.25" thickBot="1" x14ac:dyDescent="0.3">
      <c r="A7" s="14"/>
      <c r="B7" s="135" t="s">
        <v>17</v>
      </c>
      <c r="C7" s="16" t="s">
        <v>18</v>
      </c>
      <c r="D7" s="136" t="s">
        <v>19</v>
      </c>
      <c r="E7" s="79" t="s">
        <v>20</v>
      </c>
      <c r="F7" s="586" t="s">
        <v>21</v>
      </c>
      <c r="G7" s="265">
        <v>10</v>
      </c>
      <c r="H7" s="266">
        <v>9</v>
      </c>
      <c r="I7" s="266">
        <v>8</v>
      </c>
      <c r="J7" s="266">
        <v>7</v>
      </c>
      <c r="K7" s="266">
        <v>6</v>
      </c>
      <c r="L7" s="267">
        <v>5</v>
      </c>
      <c r="M7" s="141">
        <v>0</v>
      </c>
      <c r="N7" s="142" t="s">
        <v>22</v>
      </c>
      <c r="O7" s="143" t="s">
        <v>42</v>
      </c>
      <c r="P7" s="685" t="s">
        <v>24</v>
      </c>
      <c r="Q7" s="144" t="s">
        <v>25</v>
      </c>
      <c r="R7" s="82" t="s">
        <v>26</v>
      </c>
    </row>
    <row r="8" spans="1:19" ht="18.75" x14ac:dyDescent="0.25">
      <c r="A8" s="25" t="s">
        <v>107</v>
      </c>
      <c r="B8" s="1005">
        <v>1783</v>
      </c>
      <c r="C8" s="574" t="s">
        <v>181</v>
      </c>
      <c r="D8" s="298" t="s">
        <v>11</v>
      </c>
      <c r="E8" s="847" t="s">
        <v>9</v>
      </c>
      <c r="F8" s="848">
        <v>6</v>
      </c>
      <c r="G8" s="299">
        <v>11</v>
      </c>
      <c r="H8" s="299">
        <v>10</v>
      </c>
      <c r="I8" s="299">
        <v>3</v>
      </c>
      <c r="J8" s="299"/>
      <c r="K8" s="300"/>
      <c r="L8" s="1032"/>
      <c r="M8" s="302"/>
      <c r="N8" s="585">
        <f t="shared" ref="N8:N23" si="0">(F8*10)+(G8*10)+(H8*9)+(I8*8)+(J8*7)+(K8*6)+(L8*5)</f>
        <v>284</v>
      </c>
      <c r="O8" s="724">
        <f>SUM(F8:M8)</f>
        <v>30</v>
      </c>
      <c r="P8" s="1114"/>
      <c r="Q8" s="1144"/>
      <c r="R8" s="128"/>
    </row>
    <row r="9" spans="1:19" ht="18.75" x14ac:dyDescent="0.25">
      <c r="A9" s="25" t="s">
        <v>107</v>
      </c>
      <c r="B9" s="238">
        <v>1984</v>
      </c>
      <c r="C9" s="304" t="s">
        <v>75</v>
      </c>
      <c r="D9" s="90" t="s">
        <v>12</v>
      </c>
      <c r="E9" s="120" t="s">
        <v>9</v>
      </c>
      <c r="F9" s="224">
        <v>2</v>
      </c>
      <c r="G9" s="152">
        <v>7</v>
      </c>
      <c r="H9" s="152">
        <v>18</v>
      </c>
      <c r="I9" s="152">
        <v>3</v>
      </c>
      <c r="J9" s="152"/>
      <c r="K9" s="153"/>
      <c r="L9" s="307"/>
      <c r="M9" s="290"/>
      <c r="N9" s="198">
        <f t="shared" si="0"/>
        <v>276</v>
      </c>
      <c r="O9" s="214">
        <f t="shared" ref="O9:O23" si="1">SUM(F9:M9)</f>
        <v>30</v>
      </c>
      <c r="P9" s="866"/>
      <c r="Q9" s="867"/>
      <c r="R9" s="169"/>
    </row>
    <row r="10" spans="1:19" ht="18.75" x14ac:dyDescent="0.25">
      <c r="A10" s="25" t="s">
        <v>107</v>
      </c>
      <c r="B10" s="238">
        <v>2499</v>
      </c>
      <c r="C10" s="304" t="s">
        <v>211</v>
      </c>
      <c r="D10" s="90" t="s">
        <v>12</v>
      </c>
      <c r="E10" s="120" t="s">
        <v>9</v>
      </c>
      <c r="F10" s="845">
        <v>1</v>
      </c>
      <c r="G10" s="287">
        <v>11</v>
      </c>
      <c r="H10" s="287">
        <v>11</v>
      </c>
      <c r="I10" s="287">
        <v>7</v>
      </c>
      <c r="J10" s="287"/>
      <c r="K10" s="288"/>
      <c r="L10" s="307"/>
      <c r="M10" s="290"/>
      <c r="N10" s="198">
        <f t="shared" si="0"/>
        <v>275</v>
      </c>
      <c r="O10" s="214">
        <f t="shared" ref="O10:O11" si="2">SUM(F10:M10)</f>
        <v>30</v>
      </c>
      <c r="P10" s="1145"/>
      <c r="Q10" s="1146"/>
      <c r="R10" s="128"/>
    </row>
    <row r="11" spans="1:19" ht="18.75" x14ac:dyDescent="0.25">
      <c r="A11" s="25" t="s">
        <v>107</v>
      </c>
      <c r="B11" s="238">
        <v>786</v>
      </c>
      <c r="C11" s="72" t="s">
        <v>215</v>
      </c>
      <c r="D11" s="90" t="s">
        <v>10</v>
      </c>
      <c r="E11" s="120" t="s">
        <v>9</v>
      </c>
      <c r="F11" s="224">
        <v>4</v>
      </c>
      <c r="G11" s="152">
        <v>4</v>
      </c>
      <c r="H11" s="152">
        <v>16</v>
      </c>
      <c r="I11" s="152">
        <v>6</v>
      </c>
      <c r="J11" s="152"/>
      <c r="K11" s="153"/>
      <c r="L11" s="307"/>
      <c r="M11" s="290"/>
      <c r="N11" s="286">
        <f t="shared" si="0"/>
        <v>272</v>
      </c>
      <c r="O11" s="214">
        <f t="shared" si="2"/>
        <v>30</v>
      </c>
      <c r="P11" s="44" t="str">
        <f t="shared" ref="P11:P16" si="3">IF(N11&gt;296,"Yes","NO")</f>
        <v>NO</v>
      </c>
      <c r="Q11" s="867"/>
      <c r="R11" s="128"/>
    </row>
    <row r="12" spans="1:19" ht="18.75" x14ac:dyDescent="0.25">
      <c r="A12" s="25" t="s">
        <v>107</v>
      </c>
      <c r="B12" s="240">
        <v>1786</v>
      </c>
      <c r="C12" s="309" t="s">
        <v>28</v>
      </c>
      <c r="D12" s="241" t="s">
        <v>12</v>
      </c>
      <c r="E12" s="120" t="s">
        <v>9</v>
      </c>
      <c r="F12" s="845">
        <v>3</v>
      </c>
      <c r="G12" s="287">
        <v>6</v>
      </c>
      <c r="H12" s="287">
        <v>14</v>
      </c>
      <c r="I12" s="287">
        <v>7</v>
      </c>
      <c r="J12" s="287"/>
      <c r="K12" s="288"/>
      <c r="L12" s="307"/>
      <c r="M12" s="290"/>
      <c r="N12" s="286">
        <f t="shared" si="0"/>
        <v>272</v>
      </c>
      <c r="O12" s="214">
        <f t="shared" si="1"/>
        <v>30</v>
      </c>
      <c r="P12" s="44" t="str">
        <f t="shared" si="3"/>
        <v>NO</v>
      </c>
      <c r="Q12" s="51"/>
      <c r="R12" s="128"/>
    </row>
    <row r="13" spans="1:19" ht="18.75" x14ac:dyDescent="0.25">
      <c r="A13" s="25" t="s">
        <v>107</v>
      </c>
      <c r="B13" s="240">
        <v>1477</v>
      </c>
      <c r="C13" s="309" t="s">
        <v>200</v>
      </c>
      <c r="D13" s="90" t="s">
        <v>12</v>
      </c>
      <c r="E13" s="120" t="s">
        <v>9</v>
      </c>
      <c r="F13" s="845">
        <v>3</v>
      </c>
      <c r="G13" s="287">
        <v>10</v>
      </c>
      <c r="H13" s="287">
        <v>8</v>
      </c>
      <c r="I13" s="287">
        <v>7</v>
      </c>
      <c r="J13" s="287">
        <v>2</v>
      </c>
      <c r="K13" s="288"/>
      <c r="L13" s="307"/>
      <c r="M13" s="290"/>
      <c r="N13" s="286">
        <f t="shared" si="0"/>
        <v>272</v>
      </c>
      <c r="O13" s="214">
        <f t="shared" ref="O13" si="4">SUM(F13:M13)</f>
        <v>30</v>
      </c>
      <c r="P13" s="44" t="str">
        <f t="shared" si="3"/>
        <v>NO</v>
      </c>
      <c r="Q13" s="51"/>
      <c r="R13" s="128"/>
    </row>
    <row r="14" spans="1:19" ht="18.75" x14ac:dyDescent="0.25">
      <c r="A14" s="25" t="s">
        <v>107</v>
      </c>
      <c r="B14" s="240">
        <v>1982</v>
      </c>
      <c r="C14" s="309" t="s">
        <v>73</v>
      </c>
      <c r="D14" s="90" t="s">
        <v>12</v>
      </c>
      <c r="E14" s="120" t="s">
        <v>9</v>
      </c>
      <c r="F14" s="845">
        <v>3</v>
      </c>
      <c r="G14" s="287">
        <v>5</v>
      </c>
      <c r="H14" s="287">
        <v>15</v>
      </c>
      <c r="I14" s="287">
        <v>7</v>
      </c>
      <c r="J14" s="287"/>
      <c r="K14" s="288"/>
      <c r="L14" s="307"/>
      <c r="M14" s="290"/>
      <c r="N14" s="286">
        <f t="shared" si="0"/>
        <v>271</v>
      </c>
      <c r="O14" s="214">
        <f t="shared" ref="O14" si="5">SUM(F14:M14)</f>
        <v>30</v>
      </c>
      <c r="P14" s="44" t="str">
        <f t="shared" si="3"/>
        <v>NO</v>
      </c>
      <c r="Q14" s="51"/>
      <c r="R14" s="128"/>
    </row>
    <row r="15" spans="1:19" ht="18.75" x14ac:dyDescent="0.25">
      <c r="A15" s="25" t="s">
        <v>107</v>
      </c>
      <c r="B15" s="238">
        <v>1799</v>
      </c>
      <c r="C15" s="304" t="s">
        <v>180</v>
      </c>
      <c r="D15" s="90" t="s">
        <v>11</v>
      </c>
      <c r="E15" s="120" t="s">
        <v>9</v>
      </c>
      <c r="F15" s="845">
        <v>2</v>
      </c>
      <c r="G15" s="287">
        <v>10</v>
      </c>
      <c r="H15" s="287">
        <v>9</v>
      </c>
      <c r="I15" s="287">
        <v>6</v>
      </c>
      <c r="J15" s="287">
        <v>3</v>
      </c>
      <c r="K15" s="288"/>
      <c r="L15" s="307"/>
      <c r="M15" s="290"/>
      <c r="N15" s="286">
        <f t="shared" si="0"/>
        <v>270</v>
      </c>
      <c r="O15" s="214">
        <f t="shared" si="1"/>
        <v>30</v>
      </c>
      <c r="P15" s="44" t="str">
        <f t="shared" si="3"/>
        <v>NO</v>
      </c>
      <c r="Q15" s="51"/>
      <c r="R15" s="128"/>
    </row>
    <row r="16" spans="1:19" ht="18.75" x14ac:dyDescent="0.25">
      <c r="A16" s="25" t="s">
        <v>107</v>
      </c>
      <c r="B16" s="240">
        <v>1983</v>
      </c>
      <c r="C16" s="309" t="s">
        <v>108</v>
      </c>
      <c r="D16" s="90" t="s">
        <v>12</v>
      </c>
      <c r="E16" s="120" t="s">
        <v>9</v>
      </c>
      <c r="F16" s="845">
        <v>2</v>
      </c>
      <c r="G16" s="287">
        <v>6</v>
      </c>
      <c r="H16" s="287">
        <v>16</v>
      </c>
      <c r="I16" s="287">
        <v>4</v>
      </c>
      <c r="J16" s="287">
        <v>2</v>
      </c>
      <c r="K16" s="288"/>
      <c r="L16" s="307"/>
      <c r="M16" s="290"/>
      <c r="N16" s="286">
        <f t="shared" si="0"/>
        <v>270</v>
      </c>
      <c r="O16" s="214">
        <f t="shared" ref="O16:O18" si="6">SUM(F16:M16)</f>
        <v>30</v>
      </c>
      <c r="P16" s="44" t="str">
        <f t="shared" si="3"/>
        <v>NO</v>
      </c>
      <c r="Q16" s="51"/>
      <c r="R16" s="128"/>
    </row>
    <row r="17" spans="1:19" ht="18.75" x14ac:dyDescent="0.25">
      <c r="A17" s="25" t="s">
        <v>107</v>
      </c>
      <c r="B17" s="240">
        <v>1784</v>
      </c>
      <c r="C17" s="309" t="s">
        <v>177</v>
      </c>
      <c r="D17" s="90" t="s">
        <v>11</v>
      </c>
      <c r="E17" s="120" t="s">
        <v>9</v>
      </c>
      <c r="F17" s="845">
        <v>3</v>
      </c>
      <c r="G17" s="287">
        <v>10</v>
      </c>
      <c r="H17" s="287">
        <v>7</v>
      </c>
      <c r="I17" s="287">
        <v>5</v>
      </c>
      <c r="J17" s="287">
        <v>2</v>
      </c>
      <c r="K17" s="288">
        <v>3</v>
      </c>
      <c r="L17" s="307"/>
      <c r="M17" s="290"/>
      <c r="N17" s="286">
        <f t="shared" si="0"/>
        <v>265</v>
      </c>
      <c r="O17" s="214">
        <f t="shared" si="6"/>
        <v>30</v>
      </c>
      <c r="P17" s="44" t="str">
        <f t="shared" ref="P17:P22" si="7">IF(N17&gt;296,"Yes","NO")</f>
        <v>NO</v>
      </c>
      <c r="Q17" s="51"/>
      <c r="R17" s="128"/>
    </row>
    <row r="18" spans="1:19" ht="18.75" x14ac:dyDescent="0.25">
      <c r="A18" s="25" t="s">
        <v>107</v>
      </c>
      <c r="B18" s="240">
        <v>638</v>
      </c>
      <c r="C18" s="297" t="s">
        <v>199</v>
      </c>
      <c r="D18" s="298" t="s">
        <v>12</v>
      </c>
      <c r="E18" s="120" t="s">
        <v>9</v>
      </c>
      <c r="F18" s="845">
        <v>1</v>
      </c>
      <c r="G18" s="287">
        <v>7</v>
      </c>
      <c r="H18" s="287">
        <v>12</v>
      </c>
      <c r="I18" s="287">
        <v>8</v>
      </c>
      <c r="J18" s="287">
        <v>1</v>
      </c>
      <c r="K18" s="288">
        <v>1</v>
      </c>
      <c r="L18" s="307"/>
      <c r="M18" s="290"/>
      <c r="N18" s="286">
        <f t="shared" si="0"/>
        <v>265</v>
      </c>
      <c r="O18" s="214">
        <f t="shared" si="6"/>
        <v>30</v>
      </c>
      <c r="P18" s="44" t="str">
        <f t="shared" ref="P18" si="8">IF(N18&gt;296,"Yes","NO")</f>
        <v>NO</v>
      </c>
      <c r="Q18" s="51"/>
      <c r="R18" s="128"/>
    </row>
    <row r="19" spans="1:19" ht="18.75" x14ac:dyDescent="0.25">
      <c r="A19" s="25" t="s">
        <v>107</v>
      </c>
      <c r="B19" s="238">
        <v>2233</v>
      </c>
      <c r="C19" s="304" t="s">
        <v>203</v>
      </c>
      <c r="D19" s="90" t="s">
        <v>12</v>
      </c>
      <c r="E19" s="120" t="s">
        <v>9</v>
      </c>
      <c r="F19" s="224"/>
      <c r="G19" s="152">
        <v>9</v>
      </c>
      <c r="H19" s="152">
        <v>10</v>
      </c>
      <c r="I19" s="152">
        <v>6</v>
      </c>
      <c r="J19" s="152">
        <v>5</v>
      </c>
      <c r="K19" s="153"/>
      <c r="L19" s="307"/>
      <c r="M19" s="290"/>
      <c r="N19" s="286">
        <f t="shared" si="0"/>
        <v>263</v>
      </c>
      <c r="O19" s="214">
        <f t="shared" ref="O19:O22" si="9">SUM(F19:M19)</f>
        <v>30</v>
      </c>
      <c r="P19" s="44" t="str">
        <f t="shared" si="7"/>
        <v>NO</v>
      </c>
      <c r="Q19" s="51"/>
      <c r="R19" s="128"/>
    </row>
    <row r="20" spans="1:19" ht="18.75" x14ac:dyDescent="0.25">
      <c r="A20" s="25" t="s">
        <v>107</v>
      </c>
      <c r="B20" s="238">
        <v>1225</v>
      </c>
      <c r="C20" s="304" t="s">
        <v>183</v>
      </c>
      <c r="D20" s="90" t="s">
        <v>12</v>
      </c>
      <c r="E20" s="120" t="s">
        <v>9</v>
      </c>
      <c r="F20" s="845">
        <v>2</v>
      </c>
      <c r="G20" s="287">
        <v>6</v>
      </c>
      <c r="H20" s="287">
        <v>9</v>
      </c>
      <c r="I20" s="287">
        <v>7</v>
      </c>
      <c r="J20" s="287">
        <v>5</v>
      </c>
      <c r="K20" s="288">
        <v>1</v>
      </c>
      <c r="L20" s="307"/>
      <c r="M20" s="290"/>
      <c r="N20" s="286">
        <f t="shared" si="0"/>
        <v>258</v>
      </c>
      <c r="O20" s="214">
        <f t="shared" si="9"/>
        <v>30</v>
      </c>
      <c r="P20" s="44" t="str">
        <f t="shared" si="7"/>
        <v>NO</v>
      </c>
      <c r="Q20" s="51"/>
      <c r="R20" s="128"/>
    </row>
    <row r="21" spans="1:19" ht="18.75" x14ac:dyDescent="0.25">
      <c r="A21" s="25" t="s">
        <v>107</v>
      </c>
      <c r="B21" s="238">
        <v>2040</v>
      </c>
      <c r="C21" s="304" t="s">
        <v>178</v>
      </c>
      <c r="D21" s="90" t="s">
        <v>11</v>
      </c>
      <c r="E21" s="120" t="s">
        <v>9</v>
      </c>
      <c r="F21" s="845">
        <v>2</v>
      </c>
      <c r="G21" s="287">
        <v>4</v>
      </c>
      <c r="H21" s="287">
        <v>12</v>
      </c>
      <c r="I21" s="287">
        <v>6</v>
      </c>
      <c r="J21" s="287">
        <v>5</v>
      </c>
      <c r="K21" s="288">
        <v>1</v>
      </c>
      <c r="L21" s="307"/>
      <c r="M21" s="290"/>
      <c r="N21" s="286">
        <f t="shared" si="0"/>
        <v>257</v>
      </c>
      <c r="O21" s="214">
        <f t="shared" ref="O21" si="10">SUM(F21:M21)</f>
        <v>30</v>
      </c>
      <c r="P21" s="44" t="str">
        <f t="shared" ref="P21" si="11">IF(N21&gt;296,"Yes","NO")</f>
        <v>NO</v>
      </c>
      <c r="Q21" s="51"/>
      <c r="R21" s="128"/>
    </row>
    <row r="22" spans="1:19" ht="18.75" x14ac:dyDescent="0.25">
      <c r="A22" s="25" t="s">
        <v>107</v>
      </c>
      <c r="B22" s="238">
        <v>1475</v>
      </c>
      <c r="C22" s="304" t="s">
        <v>196</v>
      </c>
      <c r="D22" s="90" t="s">
        <v>10</v>
      </c>
      <c r="E22" s="120" t="s">
        <v>9</v>
      </c>
      <c r="F22" s="224">
        <v>1</v>
      </c>
      <c r="G22" s="152">
        <v>5</v>
      </c>
      <c r="H22" s="152">
        <v>14</v>
      </c>
      <c r="I22" s="152">
        <v>6</v>
      </c>
      <c r="J22" s="152"/>
      <c r="K22" s="153">
        <v>2</v>
      </c>
      <c r="L22" s="307">
        <v>1</v>
      </c>
      <c r="M22" s="290">
        <v>1</v>
      </c>
      <c r="N22" s="286">
        <f t="shared" si="0"/>
        <v>251</v>
      </c>
      <c r="O22" s="214">
        <f t="shared" si="9"/>
        <v>30</v>
      </c>
      <c r="P22" s="44" t="str">
        <f t="shared" si="7"/>
        <v>NO</v>
      </c>
      <c r="Q22" s="51"/>
      <c r="R22" s="128"/>
    </row>
    <row r="23" spans="1:19" ht="18.75" x14ac:dyDescent="0.25">
      <c r="A23" s="25" t="s">
        <v>107</v>
      </c>
      <c r="B23" s="238">
        <v>1624</v>
      </c>
      <c r="C23" s="304" t="s">
        <v>58</v>
      </c>
      <c r="D23" s="90" t="s">
        <v>12</v>
      </c>
      <c r="E23" s="120" t="s">
        <v>9</v>
      </c>
      <c r="F23" s="224">
        <v>1</v>
      </c>
      <c r="G23" s="152">
        <v>6</v>
      </c>
      <c r="H23" s="152">
        <v>9</v>
      </c>
      <c r="I23" s="152">
        <v>8</v>
      </c>
      <c r="J23" s="152">
        <v>2</v>
      </c>
      <c r="K23" s="153">
        <v>1</v>
      </c>
      <c r="L23" s="307"/>
      <c r="M23" s="290">
        <v>3</v>
      </c>
      <c r="N23" s="286">
        <f t="shared" si="0"/>
        <v>235</v>
      </c>
      <c r="O23" s="214">
        <f t="shared" si="1"/>
        <v>30</v>
      </c>
      <c r="P23" s="44" t="str">
        <f>IF(N23&gt;296,"Yes","NO")</f>
        <v>NO</v>
      </c>
      <c r="Q23" s="51" t="str">
        <f>IF(P23="yes","M","")</f>
        <v/>
      </c>
      <c r="R23" s="128" t="str">
        <f>IF(N23=0," ",IF(O23&lt;&gt;30,"ERROR!"," "))</f>
        <v xml:space="preserve"> </v>
      </c>
    </row>
    <row r="24" spans="1:19" ht="19.5" thickBot="1" x14ac:dyDescent="0.3">
      <c r="A24" s="3"/>
      <c r="B24" s="188">
        <f>COUNT(B9:B23)</f>
        <v>15</v>
      </c>
      <c r="C24" s="1622" t="s">
        <v>34</v>
      </c>
      <c r="D24" s="1623"/>
      <c r="E24" s="1624" t="s">
        <v>79</v>
      </c>
      <c r="F24" s="1625"/>
      <c r="G24" s="1625"/>
      <c r="H24" s="1625"/>
      <c r="I24" s="1625"/>
      <c r="J24" s="1625"/>
      <c r="K24" s="1625"/>
      <c r="L24" s="1625"/>
      <c r="M24" s="1625"/>
      <c r="N24" s="1625"/>
      <c r="O24" s="1626"/>
      <c r="P24" s="3"/>
      <c r="Q24" s="3"/>
      <c r="R24" s="3"/>
    </row>
    <row r="25" spans="1:19" ht="15.75" thickBot="1" x14ac:dyDescent="0.3"/>
    <row r="26" spans="1:19" ht="27" thickBot="1" x14ac:dyDescent="0.3">
      <c r="A26" s="769"/>
      <c r="B26" s="4"/>
      <c r="C26" s="1601" t="s">
        <v>237</v>
      </c>
      <c r="D26" s="1602"/>
      <c r="E26" s="1602"/>
      <c r="F26" s="1602"/>
      <c r="G26" s="1602"/>
      <c r="H26" s="1602"/>
      <c r="I26" s="1602"/>
      <c r="J26" s="1602"/>
      <c r="K26" s="1602"/>
      <c r="L26" s="1602"/>
      <c r="M26" s="1602"/>
      <c r="N26" s="1603"/>
      <c r="O26" s="10"/>
      <c r="P26" s="3"/>
      <c r="Q26" s="3"/>
      <c r="R26" s="3"/>
      <c r="S26" s="3"/>
    </row>
    <row r="27" spans="1:19" ht="32.25" thickBot="1" x14ac:dyDescent="0.3">
      <c r="A27" s="14"/>
      <c r="B27" s="135" t="s">
        <v>17</v>
      </c>
      <c r="C27" s="16" t="s">
        <v>18</v>
      </c>
      <c r="D27" s="136" t="s">
        <v>19</v>
      </c>
      <c r="E27" s="191" t="s">
        <v>20</v>
      </c>
      <c r="F27" s="265" t="s">
        <v>21</v>
      </c>
      <c r="G27" s="266">
        <v>10</v>
      </c>
      <c r="H27" s="266">
        <v>9</v>
      </c>
      <c r="I27" s="266">
        <v>8</v>
      </c>
      <c r="J27" s="266">
        <v>7</v>
      </c>
      <c r="K27" s="266">
        <v>6</v>
      </c>
      <c r="L27" s="1112">
        <v>5</v>
      </c>
      <c r="M27" s="141">
        <v>0</v>
      </c>
      <c r="N27" s="1113" t="s">
        <v>22</v>
      </c>
      <c r="O27" s="143" t="s">
        <v>42</v>
      </c>
      <c r="P27" s="94"/>
      <c r="Q27" s="1114" t="s">
        <v>24</v>
      </c>
      <c r="R27" s="18" t="s">
        <v>25</v>
      </c>
      <c r="S27" s="82" t="s">
        <v>26</v>
      </c>
    </row>
    <row r="28" spans="1:19" ht="19.5" thickBot="1" x14ac:dyDescent="0.3">
      <c r="A28" s="25" t="s">
        <v>238</v>
      </c>
      <c r="B28" s="1538">
        <v>309</v>
      </c>
      <c r="C28" s="1539" t="s">
        <v>235</v>
      </c>
      <c r="D28" s="1540" t="s">
        <v>10</v>
      </c>
      <c r="E28" s="312" t="s">
        <v>9</v>
      </c>
      <c r="F28" s="1541">
        <v>5</v>
      </c>
      <c r="G28" s="1542">
        <v>14</v>
      </c>
      <c r="H28" s="1542">
        <v>8</v>
      </c>
      <c r="I28" s="1542">
        <v>1</v>
      </c>
      <c r="J28" s="1542">
        <v>1</v>
      </c>
      <c r="K28" s="1543"/>
      <c r="L28" s="1544"/>
      <c r="M28" s="1545"/>
      <c r="N28" s="1546">
        <f>(F28*10)+(G28*10)+(H28*9)+(I28*8)+(J28*7)+(K28*6)+(L28*5)</f>
        <v>277</v>
      </c>
      <c r="O28" s="1547">
        <f>SUM(F28:M28)</f>
        <v>29</v>
      </c>
      <c r="P28" s="1548"/>
      <c r="Q28" s="1549" t="s">
        <v>239</v>
      </c>
      <c r="R28" s="1550" t="s">
        <v>6</v>
      </c>
      <c r="S28" s="1115"/>
    </row>
    <row r="29" spans="1:19" ht="19.5" thickBot="1" x14ac:dyDescent="0.3">
      <c r="A29" s="769"/>
      <c r="B29" s="188">
        <f>COUNT(#REF!)</f>
        <v>0</v>
      </c>
      <c r="C29" s="1622" t="s">
        <v>34</v>
      </c>
      <c r="D29" s="1623"/>
      <c r="E29" s="1624" t="s">
        <v>79</v>
      </c>
      <c r="F29" s="1625"/>
      <c r="G29" s="1625"/>
      <c r="H29" s="1625"/>
      <c r="I29" s="1625"/>
      <c r="J29" s="1625"/>
      <c r="K29" s="1625"/>
      <c r="L29" s="1625"/>
      <c r="M29" s="1625"/>
      <c r="N29" s="1625"/>
      <c r="O29" s="1626"/>
      <c r="P29" s="3"/>
      <c r="Q29" s="1116"/>
      <c r="R29" s="1116"/>
      <c r="S29" s="3"/>
    </row>
    <row r="30" spans="1:19" ht="15.75" thickBot="1" x14ac:dyDescent="0.3"/>
    <row r="31" spans="1:19" ht="15.75" hidden="1" thickBot="1" x14ac:dyDescent="0.3"/>
    <row r="32" spans="1:19" ht="27" thickBot="1" x14ac:dyDescent="0.3">
      <c r="A32" s="3"/>
      <c r="B32" s="4"/>
      <c r="C32" s="1601" t="s">
        <v>109</v>
      </c>
      <c r="D32" s="1602"/>
      <c r="E32" s="1602"/>
      <c r="F32" s="1602"/>
      <c r="G32" s="1602"/>
      <c r="H32" s="1602"/>
      <c r="I32" s="1602"/>
      <c r="J32" s="1602"/>
      <c r="K32" s="1603"/>
      <c r="L32" s="9"/>
      <c r="M32" s="8"/>
      <c r="N32" s="4"/>
      <c r="O32" s="10"/>
      <c r="P32" s="3"/>
    </row>
    <row r="33" spans="1:16" ht="32.25" thickBot="1" x14ac:dyDescent="0.3">
      <c r="A33" s="3"/>
      <c r="B33" s="306" t="s">
        <v>17</v>
      </c>
      <c r="C33" s="68" t="s">
        <v>18</v>
      </c>
      <c r="D33" s="311" t="s">
        <v>19</v>
      </c>
      <c r="E33" s="312" t="s">
        <v>20</v>
      </c>
      <c r="F33" s="313" t="s">
        <v>21</v>
      </c>
      <c r="G33" s="314">
        <v>5</v>
      </c>
      <c r="H33" s="314">
        <v>4</v>
      </c>
      <c r="I33" s="314">
        <v>3</v>
      </c>
      <c r="J33" s="315">
        <v>2</v>
      </c>
      <c r="K33" s="316">
        <v>0</v>
      </c>
      <c r="L33" s="227" t="s">
        <v>22</v>
      </c>
      <c r="M33" s="220" t="s">
        <v>89</v>
      </c>
      <c r="N33" s="228" t="s">
        <v>24</v>
      </c>
      <c r="O33" s="229" t="s">
        <v>25</v>
      </c>
      <c r="P33" s="82" t="s">
        <v>26</v>
      </c>
    </row>
    <row r="34" spans="1:16" ht="15.75" x14ac:dyDescent="0.25">
      <c r="A34" s="25" t="s">
        <v>110</v>
      </c>
      <c r="B34" s="240">
        <v>1783</v>
      </c>
      <c r="C34" s="309" t="s">
        <v>181</v>
      </c>
      <c r="D34" s="90" t="s">
        <v>11</v>
      </c>
      <c r="E34" s="320" t="s">
        <v>9</v>
      </c>
      <c r="F34" s="224">
        <v>5</v>
      </c>
      <c r="G34" s="152">
        <v>6</v>
      </c>
      <c r="H34" s="152">
        <v>9</v>
      </c>
      <c r="I34" s="152">
        <v>3</v>
      </c>
      <c r="J34" s="239">
        <v>1</v>
      </c>
      <c r="K34" s="317"/>
      <c r="L34" s="863">
        <f t="shared" ref="L34:L40" si="12">(F34*5)+(G34*5)+(H34*4)+(I34*3)+(J34*2)</f>
        <v>102</v>
      </c>
      <c r="M34" s="864">
        <f t="shared" ref="M34:M45" si="13">SUM(F34:K34)</f>
        <v>24</v>
      </c>
      <c r="N34" s="1665"/>
      <c r="O34" s="1666"/>
      <c r="P34" s="128" t="str">
        <f>IF(L34=0," ",IF(M34&lt;&gt;24,"ERROR!"," "))</f>
        <v xml:space="preserve"> </v>
      </c>
    </row>
    <row r="35" spans="1:16" ht="15.75" x14ac:dyDescent="0.25">
      <c r="A35" s="25" t="s">
        <v>110</v>
      </c>
      <c r="B35" s="240">
        <v>1799</v>
      </c>
      <c r="C35" s="297" t="s">
        <v>180</v>
      </c>
      <c r="D35" s="298" t="s">
        <v>11</v>
      </c>
      <c r="E35" s="320" t="s">
        <v>9</v>
      </c>
      <c r="F35" s="224">
        <v>3</v>
      </c>
      <c r="G35" s="152">
        <v>5</v>
      </c>
      <c r="H35" s="152">
        <v>8</v>
      </c>
      <c r="I35" s="152">
        <v>6</v>
      </c>
      <c r="J35" s="239">
        <v>2</v>
      </c>
      <c r="K35" s="317"/>
      <c r="L35" s="318">
        <f t="shared" si="12"/>
        <v>94</v>
      </c>
      <c r="M35" s="156">
        <f t="shared" ref="M35:M37" si="14">SUM(F35:K35)</f>
        <v>24</v>
      </c>
      <c r="N35" s="859"/>
      <c r="O35" s="860"/>
      <c r="P35" s="128"/>
    </row>
    <row r="36" spans="1:16" ht="15.75" x14ac:dyDescent="0.25">
      <c r="A36" s="25" t="s">
        <v>110</v>
      </c>
      <c r="B36" s="240">
        <v>786</v>
      </c>
      <c r="C36" s="574" t="s">
        <v>215</v>
      </c>
      <c r="D36" s="298" t="s">
        <v>10</v>
      </c>
      <c r="E36" s="120" t="s">
        <v>9</v>
      </c>
      <c r="F36" s="224">
        <v>2</v>
      </c>
      <c r="G36" s="152">
        <v>4</v>
      </c>
      <c r="H36" s="152">
        <v>8</v>
      </c>
      <c r="I36" s="152">
        <v>8</v>
      </c>
      <c r="J36" s="239">
        <v>2</v>
      </c>
      <c r="K36" s="317"/>
      <c r="L36" s="318">
        <f t="shared" si="12"/>
        <v>90</v>
      </c>
      <c r="M36" s="156">
        <f t="shared" ref="M36" si="15">SUM(F36:K36)</f>
        <v>24</v>
      </c>
      <c r="N36" s="859"/>
      <c r="O36" s="860"/>
      <c r="P36" s="128"/>
    </row>
    <row r="37" spans="1:16" ht="15.75" x14ac:dyDescent="0.25">
      <c r="A37" s="25" t="s">
        <v>110</v>
      </c>
      <c r="B37" s="240">
        <v>1784</v>
      </c>
      <c r="C37" s="319" t="s">
        <v>177</v>
      </c>
      <c r="D37" s="298" t="s">
        <v>11</v>
      </c>
      <c r="E37" s="120" t="s">
        <v>9</v>
      </c>
      <c r="F37" s="224">
        <v>3</v>
      </c>
      <c r="G37" s="152">
        <v>3</v>
      </c>
      <c r="H37" s="152">
        <v>9</v>
      </c>
      <c r="I37" s="152">
        <v>4</v>
      </c>
      <c r="J37" s="239">
        <v>5</v>
      </c>
      <c r="K37" s="317"/>
      <c r="L37" s="318">
        <f t="shared" si="12"/>
        <v>88</v>
      </c>
      <c r="M37" s="156">
        <f t="shared" si="14"/>
        <v>24</v>
      </c>
      <c r="N37" s="224" t="str">
        <f t="shared" ref="N37" si="16">IF(L37&gt;114,"Yes","NO")</f>
        <v>NO</v>
      </c>
      <c r="O37" s="860"/>
      <c r="P37" s="128"/>
    </row>
    <row r="38" spans="1:16" ht="15.75" x14ac:dyDescent="0.25">
      <c r="A38" s="25" t="s">
        <v>110</v>
      </c>
      <c r="B38" s="240">
        <v>1477</v>
      </c>
      <c r="C38" s="297" t="s">
        <v>200</v>
      </c>
      <c r="D38" s="298" t="s">
        <v>12</v>
      </c>
      <c r="E38" s="120" t="s">
        <v>9</v>
      </c>
      <c r="F38" s="224">
        <v>1</v>
      </c>
      <c r="G38" s="152">
        <v>3</v>
      </c>
      <c r="H38" s="152">
        <v>7</v>
      </c>
      <c r="I38" s="152">
        <v>7</v>
      </c>
      <c r="J38" s="239">
        <v>6</v>
      </c>
      <c r="K38" s="317"/>
      <c r="L38" s="318">
        <f t="shared" si="12"/>
        <v>81</v>
      </c>
      <c r="M38" s="156">
        <f t="shared" ref="M38" si="17">SUM(F38:K38)</f>
        <v>24</v>
      </c>
      <c r="N38" s="224" t="str">
        <f t="shared" ref="N38" si="18">IF(L38&gt;114,"Yes","NO")</f>
        <v>NO</v>
      </c>
      <c r="O38" s="860"/>
      <c r="P38" s="128"/>
    </row>
    <row r="39" spans="1:16" ht="15.75" x14ac:dyDescent="0.25">
      <c r="A39" s="25" t="s">
        <v>110</v>
      </c>
      <c r="B39" s="240">
        <v>1982</v>
      </c>
      <c r="C39" s="297" t="s">
        <v>73</v>
      </c>
      <c r="D39" s="298" t="s">
        <v>12</v>
      </c>
      <c r="E39" s="320" t="s">
        <v>9</v>
      </c>
      <c r="F39" s="224">
        <v>0</v>
      </c>
      <c r="G39" s="152">
        <v>1</v>
      </c>
      <c r="H39" s="152">
        <v>9</v>
      </c>
      <c r="I39" s="152">
        <v>11</v>
      </c>
      <c r="J39" s="239">
        <v>3</v>
      </c>
      <c r="K39" s="317"/>
      <c r="L39" s="318">
        <f t="shared" si="12"/>
        <v>80</v>
      </c>
      <c r="M39" s="156">
        <f t="shared" si="13"/>
        <v>24</v>
      </c>
      <c r="N39" s="224" t="str">
        <f t="shared" ref="N39:N43" si="19">IF(L39&gt;114,"Yes","NO")</f>
        <v>NO</v>
      </c>
      <c r="O39" s="225"/>
      <c r="P39" s="128" t="str">
        <f>IF(L39=0," ",IF(M39&lt;&gt;24,"ERROR!"," "))</f>
        <v xml:space="preserve"> </v>
      </c>
    </row>
    <row r="40" spans="1:16" ht="15.75" x14ac:dyDescent="0.25">
      <c r="A40" s="25" t="s">
        <v>110</v>
      </c>
      <c r="B40" s="240">
        <v>2040</v>
      </c>
      <c r="C40" s="297" t="s">
        <v>178</v>
      </c>
      <c r="D40" s="298" t="s">
        <v>11</v>
      </c>
      <c r="E40" s="320" t="s">
        <v>9</v>
      </c>
      <c r="F40" s="224"/>
      <c r="G40" s="152">
        <v>3</v>
      </c>
      <c r="H40" s="152">
        <v>9</v>
      </c>
      <c r="I40" s="152">
        <v>4</v>
      </c>
      <c r="J40" s="239">
        <v>7</v>
      </c>
      <c r="K40" s="317">
        <v>1</v>
      </c>
      <c r="L40" s="318">
        <f t="shared" si="12"/>
        <v>77</v>
      </c>
      <c r="M40" s="156">
        <f t="shared" ref="M40:M42" si="20">SUM(F40:K40)</f>
        <v>24</v>
      </c>
      <c r="N40" s="224" t="str">
        <f t="shared" si="19"/>
        <v>NO</v>
      </c>
      <c r="O40" s="225"/>
      <c r="P40" s="128"/>
    </row>
    <row r="41" spans="1:16" ht="15.75" x14ac:dyDescent="0.25">
      <c r="A41" s="25" t="s">
        <v>110</v>
      </c>
      <c r="B41" s="240">
        <v>638</v>
      </c>
      <c r="C41" s="297" t="s">
        <v>199</v>
      </c>
      <c r="D41" s="298" t="s">
        <v>12</v>
      </c>
      <c r="E41" s="320" t="s">
        <v>9</v>
      </c>
      <c r="F41" s="224">
        <v>2</v>
      </c>
      <c r="G41" s="152">
        <v>1</v>
      </c>
      <c r="H41" s="152">
        <v>7</v>
      </c>
      <c r="I41" s="152">
        <v>5</v>
      </c>
      <c r="J41" s="239">
        <v>9</v>
      </c>
      <c r="K41" s="317"/>
      <c r="L41" s="318">
        <f t="shared" ref="L41:L46" si="21">(F41*5)+(G41*5)+(H41*4)+(I41*3)+(J41*2)</f>
        <v>76</v>
      </c>
      <c r="M41" s="156">
        <f t="shared" si="20"/>
        <v>24</v>
      </c>
      <c r="N41" s="224" t="str">
        <f t="shared" si="19"/>
        <v>NO</v>
      </c>
      <c r="O41" s="225"/>
      <c r="P41" s="128"/>
    </row>
    <row r="42" spans="1:16" ht="15.75" x14ac:dyDescent="0.25">
      <c r="A42" s="25" t="s">
        <v>110</v>
      </c>
      <c r="B42" s="240">
        <v>1786</v>
      </c>
      <c r="C42" s="71" t="s">
        <v>28</v>
      </c>
      <c r="D42" s="298" t="s">
        <v>12</v>
      </c>
      <c r="E42" s="320" t="s">
        <v>9</v>
      </c>
      <c r="F42" s="224"/>
      <c r="G42" s="152">
        <v>1</v>
      </c>
      <c r="H42" s="152">
        <v>5</v>
      </c>
      <c r="I42" s="152">
        <v>13</v>
      </c>
      <c r="J42" s="239">
        <v>5</v>
      </c>
      <c r="K42" s="317"/>
      <c r="L42" s="318">
        <f t="shared" si="21"/>
        <v>74</v>
      </c>
      <c r="M42" s="156">
        <f t="shared" si="20"/>
        <v>24</v>
      </c>
      <c r="N42" s="224" t="str">
        <f t="shared" si="19"/>
        <v>NO</v>
      </c>
      <c r="O42" s="225"/>
      <c r="P42" s="128"/>
    </row>
    <row r="43" spans="1:16" ht="15.75" x14ac:dyDescent="0.25">
      <c r="A43" s="25" t="s">
        <v>110</v>
      </c>
      <c r="B43" s="240">
        <v>1225</v>
      </c>
      <c r="C43" s="865" t="s">
        <v>183</v>
      </c>
      <c r="D43" s="298" t="s">
        <v>12</v>
      </c>
      <c r="E43" s="120" t="s">
        <v>9</v>
      </c>
      <c r="F43" s="224">
        <v>2</v>
      </c>
      <c r="G43" s="152">
        <v>2</v>
      </c>
      <c r="H43" s="152">
        <v>3</v>
      </c>
      <c r="I43" s="152">
        <v>8</v>
      </c>
      <c r="J43" s="239">
        <v>9</v>
      </c>
      <c r="K43" s="317"/>
      <c r="L43" s="318">
        <f t="shared" si="21"/>
        <v>74</v>
      </c>
      <c r="M43" s="156">
        <f t="shared" ref="M43" si="22">SUM(F43:K43)</f>
        <v>24</v>
      </c>
      <c r="N43" s="224" t="str">
        <f t="shared" si="19"/>
        <v>NO</v>
      </c>
      <c r="O43" s="225"/>
      <c r="P43" s="128"/>
    </row>
    <row r="44" spans="1:16" ht="15.75" x14ac:dyDescent="0.25">
      <c r="A44" s="25" t="s">
        <v>110</v>
      </c>
      <c r="B44" s="240">
        <v>2233</v>
      </c>
      <c r="C44" s="309" t="s">
        <v>203</v>
      </c>
      <c r="D44" s="90" t="s">
        <v>12</v>
      </c>
      <c r="E44" s="320" t="s">
        <v>9</v>
      </c>
      <c r="F44" s="224"/>
      <c r="G44" s="152">
        <v>3</v>
      </c>
      <c r="H44" s="152">
        <v>3</v>
      </c>
      <c r="I44" s="152">
        <v>11</v>
      </c>
      <c r="J44" s="239">
        <v>7</v>
      </c>
      <c r="K44" s="317"/>
      <c r="L44" s="318">
        <f t="shared" si="21"/>
        <v>74</v>
      </c>
      <c r="M44" s="156">
        <f t="shared" si="13"/>
        <v>24</v>
      </c>
      <c r="N44" s="224" t="str">
        <f t="shared" ref="N44:N45" si="23">IF(L44&gt;109,"Yes","NO")</f>
        <v>NO</v>
      </c>
      <c r="O44" s="225" t="str">
        <f>IF(N44="yes","M","")</f>
        <v/>
      </c>
      <c r="P44" s="128" t="str">
        <f>IF(L44=0," ",IF(M44&lt;&gt;24,"ERROR!"," "))</f>
        <v xml:space="preserve"> </v>
      </c>
    </row>
    <row r="45" spans="1:16" ht="15.75" x14ac:dyDescent="0.25">
      <c r="A45" s="25" t="s">
        <v>110</v>
      </c>
      <c r="B45" s="240">
        <v>1475</v>
      </c>
      <c r="C45" s="297" t="s">
        <v>196</v>
      </c>
      <c r="D45" s="298" t="s">
        <v>10</v>
      </c>
      <c r="E45" s="320" t="s">
        <v>9</v>
      </c>
      <c r="F45" s="224">
        <v>0</v>
      </c>
      <c r="G45" s="152">
        <v>1</v>
      </c>
      <c r="H45" s="152">
        <v>7</v>
      </c>
      <c r="I45" s="152">
        <v>8</v>
      </c>
      <c r="J45" s="239">
        <v>7</v>
      </c>
      <c r="K45" s="317">
        <v>1</v>
      </c>
      <c r="L45" s="318">
        <f t="shared" si="21"/>
        <v>71</v>
      </c>
      <c r="M45" s="156">
        <f t="shared" si="13"/>
        <v>24</v>
      </c>
      <c r="N45" s="224" t="str">
        <f t="shared" si="23"/>
        <v>NO</v>
      </c>
      <c r="O45" s="225" t="str">
        <f>IF(N45="yes","M","")</f>
        <v/>
      </c>
      <c r="P45" s="128" t="str">
        <f>IF(L45=0," ",IF(M45&lt;&gt;24,"ERROR!"," "))</f>
        <v xml:space="preserve"> </v>
      </c>
    </row>
    <row r="46" spans="1:16" ht="16.5" thickBot="1" x14ac:dyDescent="0.3">
      <c r="A46" s="25" t="s">
        <v>110</v>
      </c>
      <c r="B46" s="296">
        <v>1624</v>
      </c>
      <c r="C46" s="574" t="s">
        <v>58</v>
      </c>
      <c r="D46" s="298" t="s">
        <v>12</v>
      </c>
      <c r="E46" s="120" t="s">
        <v>9</v>
      </c>
      <c r="F46" s="224"/>
      <c r="G46" s="152">
        <v>1</v>
      </c>
      <c r="H46" s="152">
        <v>1</v>
      </c>
      <c r="I46" s="152">
        <v>9</v>
      </c>
      <c r="J46" s="239">
        <v>13</v>
      </c>
      <c r="K46" s="317"/>
      <c r="L46" s="318">
        <f t="shared" si="21"/>
        <v>62</v>
      </c>
      <c r="M46" s="156">
        <f t="shared" ref="M46" si="24">SUM(F46:K46)</f>
        <v>24</v>
      </c>
      <c r="N46" s="224" t="str">
        <f t="shared" ref="N46" si="25">IF(L46&gt;109,"Yes","NO")</f>
        <v>NO</v>
      </c>
      <c r="O46" s="225"/>
      <c r="P46" s="128"/>
    </row>
    <row r="47" spans="1:16" ht="19.5" thickBot="1" x14ac:dyDescent="0.3">
      <c r="A47" s="3"/>
      <c r="B47" s="173">
        <f>COUNT(B34:B46)</f>
        <v>13</v>
      </c>
      <c r="C47" s="1645" t="s">
        <v>34</v>
      </c>
      <c r="D47" s="1655"/>
      <c r="E47" s="1647" t="s">
        <v>91</v>
      </c>
      <c r="F47" s="1648"/>
      <c r="G47" s="1648"/>
      <c r="H47" s="1648"/>
      <c r="I47" s="1648"/>
      <c r="J47" s="1648"/>
      <c r="K47" s="1648"/>
      <c r="L47" s="1648"/>
      <c r="M47" s="1648"/>
      <c r="N47" s="1648"/>
      <c r="O47" s="1649"/>
      <c r="P47" s="3"/>
    </row>
    <row r="49" spans="1:17" ht="15.75" thickBot="1" x14ac:dyDescent="0.3"/>
    <row r="50" spans="1:17" ht="27" thickBot="1" x14ac:dyDescent="0.3">
      <c r="A50" s="769"/>
      <c r="B50" s="4"/>
      <c r="C50" s="1601" t="s">
        <v>240</v>
      </c>
      <c r="D50" s="1602"/>
      <c r="E50" s="1602"/>
      <c r="F50" s="1602"/>
      <c r="G50" s="1602"/>
      <c r="H50" s="1602"/>
      <c r="I50" s="1602"/>
      <c r="J50" s="1602"/>
      <c r="K50" s="1603"/>
      <c r="L50" s="1117"/>
      <c r="M50" s="1118"/>
      <c r="N50" s="1119"/>
      <c r="O50" s="10"/>
      <c r="P50" s="3"/>
      <c r="Q50" s="3"/>
    </row>
    <row r="51" spans="1:17" ht="32.25" thickBot="1" x14ac:dyDescent="0.3">
      <c r="A51" s="769"/>
      <c r="B51" s="306" t="s">
        <v>17</v>
      </c>
      <c r="C51" s="68" t="s">
        <v>18</v>
      </c>
      <c r="D51" s="837" t="s">
        <v>19</v>
      </c>
      <c r="E51" s="312" t="s">
        <v>20</v>
      </c>
      <c r="F51" s="313" t="s">
        <v>21</v>
      </c>
      <c r="G51" s="314">
        <v>5</v>
      </c>
      <c r="H51" s="314">
        <v>4</v>
      </c>
      <c r="I51" s="314">
        <v>3</v>
      </c>
      <c r="J51" s="315">
        <v>2</v>
      </c>
      <c r="K51" s="316">
        <v>0</v>
      </c>
      <c r="L51" s="1120" t="s">
        <v>22</v>
      </c>
      <c r="M51" s="1121" t="s">
        <v>89</v>
      </c>
      <c r="N51" s="1122" t="s">
        <v>24</v>
      </c>
      <c r="O51" s="1123" t="s">
        <v>25</v>
      </c>
      <c r="P51" s="5"/>
      <c r="Q51" s="82" t="s">
        <v>26</v>
      </c>
    </row>
    <row r="52" spans="1:17" ht="15.75" x14ac:dyDescent="0.25">
      <c r="A52" s="25" t="s">
        <v>241</v>
      </c>
      <c r="B52" s="1148">
        <v>309</v>
      </c>
      <c r="C52" s="1149" t="s">
        <v>235</v>
      </c>
      <c r="D52" s="274" t="s">
        <v>10</v>
      </c>
      <c r="E52" s="1151" t="s">
        <v>9</v>
      </c>
      <c r="F52" s="1152">
        <v>1</v>
      </c>
      <c r="G52" s="1087">
        <v>5</v>
      </c>
      <c r="H52" s="1087">
        <v>11</v>
      </c>
      <c r="I52" s="1087">
        <v>5</v>
      </c>
      <c r="J52" s="1124">
        <v>2</v>
      </c>
      <c r="K52" s="1125"/>
      <c r="L52" s="1126">
        <f>(F52*5)+(G52*5)+(H52*4)+(I52*3)+(J52*2)</f>
        <v>93</v>
      </c>
      <c r="M52" s="1029">
        <f>SUM(F52:K52)</f>
        <v>24</v>
      </c>
      <c r="N52" s="1127" t="s">
        <v>239</v>
      </c>
      <c r="O52" s="1128" t="s">
        <v>6</v>
      </c>
      <c r="P52" s="5"/>
      <c r="Q52" s="1129"/>
    </row>
    <row r="53" spans="1:17" ht="16.5" thickBot="1" x14ac:dyDescent="0.3">
      <c r="A53" s="25" t="s">
        <v>241</v>
      </c>
      <c r="B53" s="1147">
        <v>2009</v>
      </c>
      <c r="C53" s="828" t="s">
        <v>234</v>
      </c>
      <c r="D53" s="1150" t="s">
        <v>10</v>
      </c>
      <c r="E53" s="829" t="s">
        <v>9</v>
      </c>
      <c r="F53" s="184">
        <v>1</v>
      </c>
      <c r="G53" s="1135">
        <v>3</v>
      </c>
      <c r="H53" s="1135">
        <v>9</v>
      </c>
      <c r="I53" s="1135">
        <v>5</v>
      </c>
      <c r="J53" s="1130">
        <v>4</v>
      </c>
      <c r="K53" s="1131"/>
      <c r="L53" s="1132">
        <f>(F53*5)+(G53*5)+(H53*4)+(I53*3)+(J53*2)</f>
        <v>79</v>
      </c>
      <c r="M53" s="1010">
        <f>SUM(F53:K53)</f>
        <v>22</v>
      </c>
      <c r="N53" s="1133" t="s">
        <v>239</v>
      </c>
      <c r="O53" s="1134" t="s">
        <v>6</v>
      </c>
      <c r="P53" s="5"/>
      <c r="Q53" s="1129"/>
    </row>
    <row r="54" spans="1:17" ht="19.5" thickBot="1" x14ac:dyDescent="0.3">
      <c r="A54" s="769"/>
      <c r="B54" s="173">
        <f>COUNT(#REF!)</f>
        <v>0</v>
      </c>
      <c r="C54" s="1645" t="s">
        <v>34</v>
      </c>
      <c r="D54" s="1655"/>
      <c r="E54" s="1647" t="s">
        <v>91</v>
      </c>
      <c r="F54" s="1648"/>
      <c r="G54" s="1648"/>
      <c r="H54" s="1648"/>
      <c r="I54" s="1648"/>
      <c r="J54" s="1648"/>
      <c r="K54" s="1648"/>
      <c r="L54" s="1648"/>
      <c r="M54" s="1648"/>
      <c r="N54" s="1653"/>
      <c r="O54" s="1654"/>
      <c r="P54" s="3"/>
      <c r="Q54" s="3"/>
    </row>
  </sheetData>
  <sortState ref="B8:N23">
    <sortCondition descending="1" ref="N8"/>
  </sortState>
  <mergeCells count="15">
    <mergeCell ref="C50:K50"/>
    <mergeCell ref="C54:D54"/>
    <mergeCell ref="E54:O54"/>
    <mergeCell ref="A2:S2"/>
    <mergeCell ref="C47:D47"/>
    <mergeCell ref="E47:O47"/>
    <mergeCell ref="N34:O34"/>
    <mergeCell ref="B4:Q4"/>
    <mergeCell ref="C6:N6"/>
    <mergeCell ref="C24:D24"/>
    <mergeCell ref="E24:O24"/>
    <mergeCell ref="C32:K32"/>
    <mergeCell ref="C26:N26"/>
    <mergeCell ref="C29:D29"/>
    <mergeCell ref="E29:O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opLeftCell="A3" workbookViewId="0">
      <selection activeCell="U25" sqref="U25"/>
    </sheetView>
  </sheetViews>
  <sheetFormatPr defaultRowHeight="15" x14ac:dyDescent="0.25"/>
  <cols>
    <col min="1" max="1" width="25" customWidth="1"/>
    <col min="7" max="7" width="9.140625" customWidth="1"/>
    <col min="15" max="15" width="8.85546875" style="625"/>
    <col min="16" max="16" width="0.7109375" customWidth="1"/>
    <col min="17" max="17" width="0.28515625" customWidth="1"/>
    <col min="18" max="18" width="0.42578125" customWidth="1"/>
    <col min="19" max="19" width="0.140625" customWidth="1"/>
  </cols>
  <sheetData>
    <row r="1" spans="1:19" hidden="1" x14ac:dyDescent="0.25"/>
    <row r="2" spans="1:19" ht="15.75" hidden="1" thickBot="1" x14ac:dyDescent="0.3"/>
    <row r="3" spans="1:19" ht="24" thickBot="1" x14ac:dyDescent="0.3">
      <c r="A3" s="1587" t="s">
        <v>206</v>
      </c>
      <c r="B3" s="1588"/>
      <c r="C3" s="1588"/>
      <c r="D3" s="1588"/>
      <c r="E3" s="1588"/>
      <c r="F3" s="1588"/>
      <c r="G3" s="1588"/>
      <c r="H3" s="1588"/>
      <c r="I3" s="1588"/>
      <c r="J3" s="1588"/>
      <c r="K3" s="1588"/>
      <c r="L3" s="1588"/>
      <c r="M3" s="1588"/>
      <c r="N3" s="1588"/>
      <c r="O3" s="1588"/>
      <c r="P3" s="1588"/>
      <c r="Q3" s="1588"/>
      <c r="R3" s="1588"/>
      <c r="S3" s="1589"/>
    </row>
    <row r="4" spans="1:19" ht="17.25" thickBot="1" x14ac:dyDescent="0.3">
      <c r="A4" s="322"/>
      <c r="B4" s="323"/>
      <c r="C4" s="322"/>
      <c r="D4" s="324"/>
      <c r="E4" s="325"/>
      <c r="F4" s="325"/>
      <c r="G4" s="325"/>
      <c r="H4" s="325"/>
      <c r="I4" s="325"/>
      <c r="J4" s="325"/>
      <c r="K4" s="325"/>
      <c r="L4" s="325"/>
      <c r="M4" s="326"/>
      <c r="N4" s="325"/>
      <c r="O4" s="686"/>
    </row>
    <row r="5" spans="1:19" ht="21" thickBot="1" x14ac:dyDescent="0.3">
      <c r="A5" s="1667" t="s">
        <v>111</v>
      </c>
      <c r="B5" s="1668"/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669"/>
    </row>
    <row r="6" spans="1:19" ht="33.75" thickBot="1" x14ac:dyDescent="0.3">
      <c r="A6" s="385" t="s">
        <v>18</v>
      </c>
      <c r="B6" s="521" t="s">
        <v>17</v>
      </c>
      <c r="C6" s="387" t="s">
        <v>112</v>
      </c>
      <c r="D6" s="388" t="s">
        <v>19</v>
      </c>
      <c r="E6" s="389" t="s">
        <v>113</v>
      </c>
      <c r="F6" s="390" t="s">
        <v>114</v>
      </c>
      <c r="G6" s="387" t="s">
        <v>115</v>
      </c>
      <c r="H6" s="522" t="s">
        <v>116</v>
      </c>
      <c r="I6" s="389" t="s">
        <v>117</v>
      </c>
      <c r="J6" s="390" t="s">
        <v>118</v>
      </c>
      <c r="K6" s="523" t="s">
        <v>119</v>
      </c>
      <c r="L6" s="522" t="s">
        <v>116</v>
      </c>
      <c r="M6" s="416" t="s">
        <v>22</v>
      </c>
      <c r="N6" s="524" t="s">
        <v>120</v>
      </c>
      <c r="O6" s="687" t="s">
        <v>121</v>
      </c>
    </row>
    <row r="7" spans="1:19" ht="16.5" x14ac:dyDescent="0.25">
      <c r="A7" s="343" t="s">
        <v>54</v>
      </c>
      <c r="B7" s="344">
        <v>2</v>
      </c>
      <c r="C7" s="345" t="s">
        <v>3</v>
      </c>
      <c r="D7" s="597" t="s">
        <v>7</v>
      </c>
      <c r="E7" s="600">
        <v>134</v>
      </c>
      <c r="F7" s="347">
        <v>144</v>
      </c>
      <c r="G7" s="1329"/>
      <c r="H7" s="367">
        <f t="shared" ref="H7:H21" si="0">SUM($E7:$G7)</f>
        <v>278</v>
      </c>
      <c r="I7" s="600">
        <v>93</v>
      </c>
      <c r="J7" s="347">
        <v>96</v>
      </c>
      <c r="K7" s="375">
        <v>94</v>
      </c>
      <c r="L7" s="367">
        <f t="shared" ref="L7:L21" si="1">SUM($I7:$K7)</f>
        <v>283</v>
      </c>
      <c r="M7" s="355">
        <f t="shared" ref="M7:M12" si="2">$H7+$L7</f>
        <v>561</v>
      </c>
      <c r="N7" s="755"/>
      <c r="O7" s="756"/>
    </row>
    <row r="8" spans="1:19" ht="17.25" thickBot="1" x14ac:dyDescent="0.3">
      <c r="A8" s="1322" t="s">
        <v>122</v>
      </c>
      <c r="B8" s="1323">
        <v>1383</v>
      </c>
      <c r="C8" s="1324" t="s">
        <v>3</v>
      </c>
      <c r="D8" s="1325" t="s">
        <v>12</v>
      </c>
      <c r="E8" s="1326">
        <v>141</v>
      </c>
      <c r="F8" s="1327">
        <v>139</v>
      </c>
      <c r="G8" s="1328"/>
      <c r="H8" s="367">
        <f t="shared" si="0"/>
        <v>280</v>
      </c>
      <c r="I8" s="1326">
        <v>94</v>
      </c>
      <c r="J8" s="1327">
        <v>93</v>
      </c>
      <c r="K8" s="1330">
        <v>90</v>
      </c>
      <c r="L8" s="367">
        <f t="shared" si="1"/>
        <v>277</v>
      </c>
      <c r="M8" s="355">
        <f t="shared" si="2"/>
        <v>557</v>
      </c>
      <c r="N8" s="1678"/>
      <c r="O8" s="1679"/>
    </row>
    <row r="9" spans="1:19" ht="16.5" x14ac:dyDescent="0.25">
      <c r="A9" s="343" t="s">
        <v>231</v>
      </c>
      <c r="B9" s="432">
        <v>647</v>
      </c>
      <c r="C9" s="967" t="s">
        <v>4</v>
      </c>
      <c r="D9" s="1105" t="s">
        <v>10</v>
      </c>
      <c r="E9" s="1104">
        <v>137</v>
      </c>
      <c r="F9" s="970">
        <v>144</v>
      </c>
      <c r="G9" s="971"/>
      <c r="H9" s="374">
        <f t="shared" si="0"/>
        <v>281</v>
      </c>
      <c r="I9" s="346">
        <v>95</v>
      </c>
      <c r="J9" s="347">
        <v>95</v>
      </c>
      <c r="K9" s="972">
        <v>94</v>
      </c>
      <c r="L9" s="374">
        <f t="shared" si="1"/>
        <v>284</v>
      </c>
      <c r="M9" s="348">
        <f t="shared" si="2"/>
        <v>565</v>
      </c>
      <c r="N9" s="1107" t="str">
        <f>IF(M9&gt;564,"Yes","NO")</f>
        <v>Yes</v>
      </c>
      <c r="O9" s="1108" t="str">
        <f>IF(N9="Yes","M","")</f>
        <v>M</v>
      </c>
    </row>
    <row r="10" spans="1:19" ht="16.5" x14ac:dyDescent="0.25">
      <c r="A10" s="379" t="s">
        <v>169</v>
      </c>
      <c r="B10" s="380">
        <v>169</v>
      </c>
      <c r="C10" s="381" t="s">
        <v>4</v>
      </c>
      <c r="D10" s="766" t="s">
        <v>7</v>
      </c>
      <c r="E10" s="780">
        <v>130</v>
      </c>
      <c r="F10" s="382">
        <v>137</v>
      </c>
      <c r="G10" s="781"/>
      <c r="H10" s="336">
        <f t="shared" si="0"/>
        <v>267</v>
      </c>
      <c r="I10" s="352">
        <v>90</v>
      </c>
      <c r="J10" s="353">
        <v>89</v>
      </c>
      <c r="K10" s="354">
        <v>89</v>
      </c>
      <c r="L10" s="336">
        <f t="shared" si="1"/>
        <v>268</v>
      </c>
      <c r="M10" s="338">
        <f t="shared" si="2"/>
        <v>535</v>
      </c>
      <c r="N10" s="1102" t="str">
        <f>IF(M10&gt;564,"Yes","NO")</f>
        <v>NO</v>
      </c>
      <c r="O10" s="1109"/>
    </row>
    <row r="11" spans="1:19" ht="16.5" x14ac:dyDescent="0.25">
      <c r="A11" s="339" t="s">
        <v>175</v>
      </c>
      <c r="B11" s="330">
        <v>2218</v>
      </c>
      <c r="C11" s="331" t="s">
        <v>4</v>
      </c>
      <c r="D11" s="332" t="s">
        <v>12</v>
      </c>
      <c r="E11" s="333">
        <v>131</v>
      </c>
      <c r="F11" s="334">
        <v>131</v>
      </c>
      <c r="G11" s="335"/>
      <c r="H11" s="336">
        <f t="shared" si="0"/>
        <v>262</v>
      </c>
      <c r="I11" s="356">
        <v>88</v>
      </c>
      <c r="J11" s="337">
        <v>93</v>
      </c>
      <c r="K11" s="357">
        <v>90</v>
      </c>
      <c r="L11" s="336">
        <f t="shared" si="1"/>
        <v>271</v>
      </c>
      <c r="M11" s="338">
        <f t="shared" si="2"/>
        <v>533</v>
      </c>
      <c r="N11" s="1102" t="str">
        <f t="shared" ref="N11:N12" si="3">IF(M11&gt;564,"Yes","NO")</f>
        <v>NO</v>
      </c>
      <c r="O11" s="1110"/>
    </row>
    <row r="12" spans="1:19" ht="16.5" x14ac:dyDescent="0.25">
      <c r="A12" s="339" t="s">
        <v>232</v>
      </c>
      <c r="B12" s="377">
        <v>506</v>
      </c>
      <c r="C12" s="378" t="s">
        <v>4</v>
      </c>
      <c r="D12" s="1106" t="s">
        <v>8</v>
      </c>
      <c r="E12" s="1101">
        <v>132</v>
      </c>
      <c r="F12" s="75">
        <v>132</v>
      </c>
      <c r="G12" s="510"/>
      <c r="H12" s="336">
        <f t="shared" si="0"/>
        <v>264</v>
      </c>
      <c r="I12" s="527">
        <v>86</v>
      </c>
      <c r="J12" s="334">
        <v>91</v>
      </c>
      <c r="K12" s="528">
        <v>88</v>
      </c>
      <c r="L12" s="336">
        <f t="shared" si="1"/>
        <v>265</v>
      </c>
      <c r="M12" s="338">
        <f t="shared" si="2"/>
        <v>529</v>
      </c>
      <c r="N12" s="1102" t="str">
        <f t="shared" si="3"/>
        <v>NO</v>
      </c>
      <c r="O12" s="1110"/>
      <c r="Q12" s="1"/>
    </row>
    <row r="13" spans="1:19" ht="17.25" thickBot="1" x14ac:dyDescent="0.3">
      <c r="A13" s="757" t="s">
        <v>230</v>
      </c>
      <c r="B13" s="1314">
        <v>1452</v>
      </c>
      <c r="C13" s="758" t="s">
        <v>4</v>
      </c>
      <c r="D13" s="1315" t="s">
        <v>10</v>
      </c>
      <c r="E13" s="1316">
        <v>122</v>
      </c>
      <c r="F13" s="503">
        <v>109</v>
      </c>
      <c r="G13" s="759"/>
      <c r="H13" s="1317">
        <f t="shared" si="0"/>
        <v>231</v>
      </c>
      <c r="I13" s="1318">
        <v>87</v>
      </c>
      <c r="J13" s="958">
        <v>78</v>
      </c>
      <c r="K13" s="1318">
        <v>89</v>
      </c>
      <c r="L13" s="1317">
        <f t="shared" si="1"/>
        <v>254</v>
      </c>
      <c r="M13" s="372">
        <f t="shared" ref="M13" si="4">$H13+$L13</f>
        <v>485</v>
      </c>
      <c r="N13" s="1319" t="str">
        <f t="shared" ref="N13" si="5">IF(M13&gt;564,"Yes","NO")</f>
        <v>NO</v>
      </c>
      <c r="O13" s="1111"/>
      <c r="Q13" s="1"/>
    </row>
    <row r="14" spans="1:19" ht="16.5" x14ac:dyDescent="0.25">
      <c r="A14" s="343" t="s">
        <v>56</v>
      </c>
      <c r="B14" s="344">
        <v>641</v>
      </c>
      <c r="C14" s="373" t="s">
        <v>6</v>
      </c>
      <c r="D14" s="433" t="s">
        <v>12</v>
      </c>
      <c r="E14" s="600">
        <v>83</v>
      </c>
      <c r="F14" s="347">
        <v>85</v>
      </c>
      <c r="G14" s="375">
        <v>79</v>
      </c>
      <c r="H14" s="374">
        <f t="shared" si="0"/>
        <v>247</v>
      </c>
      <c r="I14" s="600">
        <v>94</v>
      </c>
      <c r="J14" s="347">
        <v>85</v>
      </c>
      <c r="K14" s="375">
        <v>92</v>
      </c>
      <c r="L14" s="374">
        <f t="shared" si="1"/>
        <v>271</v>
      </c>
      <c r="M14" s="851">
        <f t="shared" ref="M14:M21" si="6">$H14+$L14</f>
        <v>518</v>
      </c>
      <c r="N14" s="765" t="str">
        <f>IF(M14&gt;529,"Yes","NO")</f>
        <v>NO</v>
      </c>
      <c r="O14" s="1103"/>
    </row>
    <row r="15" spans="1:19" ht="17.25" thickBot="1" x14ac:dyDescent="0.3">
      <c r="A15" s="358" t="s">
        <v>74</v>
      </c>
      <c r="B15" s="852">
        <v>723</v>
      </c>
      <c r="C15" s="595" t="s">
        <v>6</v>
      </c>
      <c r="D15" s="705" t="s">
        <v>61</v>
      </c>
      <c r="E15" s="1100">
        <v>115</v>
      </c>
      <c r="F15" s="361">
        <v>121</v>
      </c>
      <c r="G15" s="1320"/>
      <c r="H15" s="812">
        <f t="shared" si="0"/>
        <v>236</v>
      </c>
      <c r="I15" s="813">
        <v>49</v>
      </c>
      <c r="J15" s="602">
        <v>85</v>
      </c>
      <c r="K15" s="603">
        <v>82</v>
      </c>
      <c r="L15" s="812">
        <f t="shared" si="1"/>
        <v>216</v>
      </c>
      <c r="M15" s="1321">
        <f t="shared" si="6"/>
        <v>452</v>
      </c>
      <c r="N15" s="431" t="str">
        <f>IF(M15&gt;529,"Yes","NO")</f>
        <v>NO</v>
      </c>
      <c r="O15" s="1103"/>
    </row>
    <row r="16" spans="1:19" ht="16.5" x14ac:dyDescent="0.25">
      <c r="A16" s="343" t="s">
        <v>82</v>
      </c>
      <c r="B16" s="432">
        <v>1291</v>
      </c>
      <c r="C16" s="967" t="s">
        <v>5</v>
      </c>
      <c r="D16" s="968" t="s">
        <v>7</v>
      </c>
      <c r="E16" s="969">
        <v>107</v>
      </c>
      <c r="F16" s="970">
        <v>128</v>
      </c>
      <c r="G16" s="971"/>
      <c r="H16" s="374">
        <f t="shared" si="0"/>
        <v>235</v>
      </c>
      <c r="I16" s="346">
        <v>84</v>
      </c>
      <c r="J16" s="347">
        <v>83</v>
      </c>
      <c r="K16" s="972">
        <v>82</v>
      </c>
      <c r="L16" s="374">
        <f t="shared" si="1"/>
        <v>249</v>
      </c>
      <c r="M16" s="348">
        <f t="shared" si="6"/>
        <v>484</v>
      </c>
      <c r="N16" s="363" t="str">
        <f t="shared" ref="N16:N21" si="7">IF(M16&gt;509,"Yes","NO")</f>
        <v>NO</v>
      </c>
      <c r="O16" s="688" t="str">
        <f t="shared" ref="O16:O21" si="8">IF(N16="Yes","S","")</f>
        <v/>
      </c>
    </row>
    <row r="17" spans="1:15" ht="16.5" x14ac:dyDescent="0.25">
      <c r="A17" s="339" t="s">
        <v>76</v>
      </c>
      <c r="B17" s="330">
        <v>1580</v>
      </c>
      <c r="C17" s="369" t="s">
        <v>5</v>
      </c>
      <c r="D17" s="340" t="s">
        <v>61</v>
      </c>
      <c r="E17" s="527">
        <v>126</v>
      </c>
      <c r="F17" s="334">
        <v>130</v>
      </c>
      <c r="G17" s="811"/>
      <c r="H17" s="336">
        <f t="shared" si="0"/>
        <v>256</v>
      </c>
      <c r="I17" s="341">
        <v>81</v>
      </c>
      <c r="J17" s="353">
        <v>87</v>
      </c>
      <c r="K17" s="354">
        <v>57</v>
      </c>
      <c r="L17" s="336">
        <f t="shared" si="1"/>
        <v>225</v>
      </c>
      <c r="M17" s="338">
        <f t="shared" si="6"/>
        <v>481</v>
      </c>
      <c r="N17" s="368" t="str">
        <f t="shared" si="7"/>
        <v>NO</v>
      </c>
      <c r="O17" s="689" t="str">
        <f t="shared" si="8"/>
        <v/>
      </c>
    </row>
    <row r="18" spans="1:15" ht="16.5" x14ac:dyDescent="0.25">
      <c r="A18" s="379" t="s">
        <v>263</v>
      </c>
      <c r="B18" s="349">
        <v>1207</v>
      </c>
      <c r="C18" s="376" t="s">
        <v>5</v>
      </c>
      <c r="D18" s="351" t="s">
        <v>12</v>
      </c>
      <c r="E18" s="525">
        <v>121</v>
      </c>
      <c r="F18" s="353">
        <v>111</v>
      </c>
      <c r="G18" s="526"/>
      <c r="H18" s="336">
        <f t="shared" si="0"/>
        <v>232</v>
      </c>
      <c r="I18" s="341">
        <v>87</v>
      </c>
      <c r="J18" s="353">
        <v>70</v>
      </c>
      <c r="K18" s="354">
        <v>75</v>
      </c>
      <c r="L18" s="336">
        <f t="shared" si="1"/>
        <v>232</v>
      </c>
      <c r="M18" s="338">
        <f t="shared" si="6"/>
        <v>464</v>
      </c>
      <c r="N18" s="368" t="str">
        <f t="shared" si="7"/>
        <v>NO</v>
      </c>
      <c r="O18" s="689"/>
    </row>
    <row r="19" spans="1:15" ht="16.5" x14ac:dyDescent="0.25">
      <c r="A19" s="379" t="s">
        <v>102</v>
      </c>
      <c r="B19" s="349">
        <v>1577</v>
      </c>
      <c r="C19" s="376" t="s">
        <v>5</v>
      </c>
      <c r="D19" s="424" t="s">
        <v>61</v>
      </c>
      <c r="E19" s="525">
        <v>95</v>
      </c>
      <c r="F19" s="353">
        <v>108</v>
      </c>
      <c r="G19" s="526"/>
      <c r="H19" s="336">
        <f t="shared" si="0"/>
        <v>203</v>
      </c>
      <c r="I19" s="341">
        <v>57</v>
      </c>
      <c r="J19" s="353">
        <v>78</v>
      </c>
      <c r="K19" s="354">
        <v>79</v>
      </c>
      <c r="L19" s="336">
        <f t="shared" si="1"/>
        <v>214</v>
      </c>
      <c r="M19" s="338">
        <f t="shared" si="6"/>
        <v>417</v>
      </c>
      <c r="N19" s="368" t="str">
        <f t="shared" si="7"/>
        <v>NO</v>
      </c>
      <c r="O19" s="689" t="str">
        <f t="shared" si="8"/>
        <v/>
      </c>
    </row>
    <row r="20" spans="1:15" ht="16.5" x14ac:dyDescent="0.25">
      <c r="A20" s="379" t="s">
        <v>84</v>
      </c>
      <c r="B20" s="349">
        <v>1723</v>
      </c>
      <c r="C20" s="376" t="s">
        <v>5</v>
      </c>
      <c r="D20" s="351" t="s">
        <v>12</v>
      </c>
      <c r="E20" s="525">
        <v>102</v>
      </c>
      <c r="F20" s="353">
        <v>89</v>
      </c>
      <c r="G20" s="526"/>
      <c r="H20" s="336">
        <f t="shared" si="0"/>
        <v>191</v>
      </c>
      <c r="I20" s="341">
        <v>63</v>
      </c>
      <c r="J20" s="353">
        <v>62</v>
      </c>
      <c r="K20" s="354">
        <v>63</v>
      </c>
      <c r="L20" s="336">
        <f t="shared" si="1"/>
        <v>188</v>
      </c>
      <c r="M20" s="338">
        <f t="shared" si="6"/>
        <v>379</v>
      </c>
      <c r="N20" s="368" t="str">
        <f t="shared" si="7"/>
        <v>NO</v>
      </c>
      <c r="O20" s="689" t="str">
        <f t="shared" si="8"/>
        <v/>
      </c>
    </row>
    <row r="21" spans="1:15" ht="17.25" thickBot="1" x14ac:dyDescent="0.3">
      <c r="A21" s="565" t="s">
        <v>213</v>
      </c>
      <c r="B21" s="569">
        <v>2502</v>
      </c>
      <c r="C21" s="1331" t="s">
        <v>5</v>
      </c>
      <c r="D21" s="1332" t="s">
        <v>12</v>
      </c>
      <c r="E21" s="1333">
        <v>47</v>
      </c>
      <c r="F21" s="1334">
        <v>41</v>
      </c>
      <c r="G21" s="1335"/>
      <c r="H21" s="508">
        <f t="shared" si="0"/>
        <v>88</v>
      </c>
      <c r="I21" s="360">
        <v>19</v>
      </c>
      <c r="J21" s="602">
        <v>57</v>
      </c>
      <c r="K21" s="853">
        <v>62</v>
      </c>
      <c r="L21" s="508">
        <f t="shared" si="1"/>
        <v>138</v>
      </c>
      <c r="M21" s="362">
        <f t="shared" si="6"/>
        <v>226</v>
      </c>
      <c r="N21" s="692" t="str">
        <f t="shared" si="7"/>
        <v>NO</v>
      </c>
      <c r="O21" s="693" t="str">
        <f t="shared" si="8"/>
        <v/>
      </c>
    </row>
    <row r="22" spans="1:15" ht="24" thickBot="1" x14ac:dyDescent="0.3">
      <c r="A22" s="383" t="s">
        <v>78</v>
      </c>
      <c r="B22" s="1670" t="s">
        <v>127</v>
      </c>
      <c r="C22" s="1671"/>
      <c r="D22" s="1671"/>
      <c r="E22" s="1671"/>
      <c r="F22" s="1671"/>
      <c r="G22" s="1671"/>
      <c r="H22" s="1671"/>
      <c r="I22" s="1671"/>
      <c r="J22" s="1671"/>
      <c r="K22" s="1671"/>
      <c r="L22" s="1671"/>
      <c r="M22" s="1672"/>
      <c r="N22" s="384"/>
      <c r="O22" s="686"/>
    </row>
    <row r="23" spans="1:15" hidden="1" x14ac:dyDescent="0.25"/>
    <row r="24" spans="1:15" hidden="1" x14ac:dyDescent="0.25"/>
    <row r="25" spans="1:15" ht="15.75" thickBot="1" x14ac:dyDescent="0.3"/>
    <row r="26" spans="1:15" ht="21" thickBot="1" x14ac:dyDescent="0.3">
      <c r="A26" s="1667" t="s">
        <v>163</v>
      </c>
      <c r="B26" s="1668"/>
      <c r="C26" s="1668"/>
      <c r="D26" s="1668"/>
      <c r="E26" s="1668"/>
      <c r="F26" s="1668"/>
      <c r="G26" s="1668"/>
      <c r="H26" s="1668"/>
      <c r="I26" s="1668"/>
      <c r="J26" s="1668"/>
      <c r="K26" s="1668"/>
      <c r="L26" s="1668"/>
      <c r="M26" s="1668"/>
      <c r="N26" s="1668"/>
      <c r="O26" s="1669"/>
    </row>
    <row r="27" spans="1:15" ht="36.75" thickBot="1" x14ac:dyDescent="0.3">
      <c r="A27" s="385" t="s">
        <v>18</v>
      </c>
      <c r="B27" s="386" t="s">
        <v>17</v>
      </c>
      <c r="C27" s="387" t="s">
        <v>112</v>
      </c>
      <c r="D27" s="388" t="s">
        <v>19</v>
      </c>
      <c r="E27" s="389" t="s">
        <v>113</v>
      </c>
      <c r="F27" s="390" t="s">
        <v>114</v>
      </c>
      <c r="G27" s="387" t="s">
        <v>115</v>
      </c>
      <c r="H27" s="522" t="s">
        <v>116</v>
      </c>
      <c r="I27" s="389" t="s">
        <v>117</v>
      </c>
      <c r="J27" s="390" t="s">
        <v>118</v>
      </c>
      <c r="K27" s="523" t="s">
        <v>119</v>
      </c>
      <c r="L27" s="962" t="s">
        <v>116</v>
      </c>
      <c r="M27" s="963" t="s">
        <v>22</v>
      </c>
      <c r="N27" s="964" t="s">
        <v>120</v>
      </c>
      <c r="O27" s="965" t="s">
        <v>121</v>
      </c>
    </row>
    <row r="28" spans="1:15" ht="18.75" thickBot="1" x14ac:dyDescent="0.3">
      <c r="A28" s="1048" t="s">
        <v>128</v>
      </c>
      <c r="B28" s="1041">
        <v>1809</v>
      </c>
      <c r="C28" s="1042" t="s">
        <v>278</v>
      </c>
      <c r="D28" s="1043" t="s">
        <v>8</v>
      </c>
      <c r="E28" s="347">
        <v>131</v>
      </c>
      <c r="F28" s="347">
        <v>141</v>
      </c>
      <c r="G28" s="375"/>
      <c r="H28" s="374">
        <f>SUM($E28:$G28)</f>
        <v>272</v>
      </c>
      <c r="I28" s="600">
        <v>89</v>
      </c>
      <c r="J28" s="347">
        <v>84</v>
      </c>
      <c r="K28" s="375">
        <v>83</v>
      </c>
      <c r="L28" s="509">
        <f>SUM($I28:$K28)</f>
        <v>256</v>
      </c>
      <c r="M28" s="1380">
        <f>$H28+$L28</f>
        <v>528</v>
      </c>
      <c r="N28" s="816"/>
      <c r="O28" s="695"/>
    </row>
    <row r="29" spans="1:15" ht="18" x14ac:dyDescent="0.25">
      <c r="A29" s="1048" t="s">
        <v>274</v>
      </c>
      <c r="B29" s="1041">
        <v>2521</v>
      </c>
      <c r="C29" s="1042" t="s">
        <v>14</v>
      </c>
      <c r="D29" s="1043" t="s">
        <v>8</v>
      </c>
      <c r="E29" s="347">
        <v>115</v>
      </c>
      <c r="F29" s="347">
        <v>117</v>
      </c>
      <c r="G29" s="375"/>
      <c r="H29" s="1505">
        <f>SUM($E29:$G29)</f>
        <v>232</v>
      </c>
      <c r="I29" s="600">
        <v>84</v>
      </c>
      <c r="J29" s="347">
        <v>81</v>
      </c>
      <c r="K29" s="375">
        <v>81</v>
      </c>
      <c r="L29" s="1506">
        <f>SUM($I29:$K29)</f>
        <v>246</v>
      </c>
      <c r="M29" s="1507">
        <f>$H29+$L29</f>
        <v>478</v>
      </c>
      <c r="N29" s="1508" t="str">
        <f t="shared" ref="N29" si="9">IF(M29&gt;509,"Yes","NO")</f>
        <v>NO</v>
      </c>
      <c r="O29" s="691"/>
    </row>
    <row r="30" spans="1:15" ht="18" x14ac:dyDescent="0.25">
      <c r="A30" s="1044" t="s">
        <v>176</v>
      </c>
      <c r="B30" s="1511">
        <v>1143</v>
      </c>
      <c r="C30" s="1513" t="s">
        <v>14</v>
      </c>
      <c r="D30" s="392" t="s">
        <v>8</v>
      </c>
      <c r="E30" s="334">
        <v>92</v>
      </c>
      <c r="F30" s="334">
        <v>116</v>
      </c>
      <c r="G30" s="335"/>
      <c r="H30" s="336">
        <f>SUM($E30:$G30)</f>
        <v>208</v>
      </c>
      <c r="I30" s="333">
        <v>84</v>
      </c>
      <c r="J30" s="334">
        <v>79</v>
      </c>
      <c r="K30" s="335">
        <v>85</v>
      </c>
      <c r="L30" s="1045">
        <f>SUM($I30:$K30)</f>
        <v>248</v>
      </c>
      <c r="M30" s="1046">
        <f>$H30+$L30</f>
        <v>456</v>
      </c>
      <c r="N30" s="342" t="str">
        <f t="shared" ref="N30" si="10">IF(M30&gt;509,"Yes","NO")</f>
        <v>NO</v>
      </c>
      <c r="O30" s="1051"/>
    </row>
    <row r="31" spans="1:15" ht="18.75" thickBot="1" x14ac:dyDescent="0.3">
      <c r="A31" s="1509" t="s">
        <v>292</v>
      </c>
      <c r="B31" s="1510" t="s">
        <v>283</v>
      </c>
      <c r="C31" s="1512" t="s">
        <v>14</v>
      </c>
      <c r="D31" s="601" t="s">
        <v>12</v>
      </c>
      <c r="E31" s="602">
        <v>87</v>
      </c>
      <c r="F31" s="602">
        <v>78</v>
      </c>
      <c r="G31" s="603"/>
      <c r="H31" s="812">
        <f>SUM($E31:$G31)</f>
        <v>165</v>
      </c>
      <c r="I31" s="813">
        <v>34</v>
      </c>
      <c r="J31" s="602">
        <v>42</v>
      </c>
      <c r="K31" s="603">
        <v>51</v>
      </c>
      <c r="L31" s="814">
        <f>SUM($I31:$K31)</f>
        <v>127</v>
      </c>
      <c r="M31" s="815">
        <f>$H31+$L31</f>
        <v>292</v>
      </c>
      <c r="N31" s="692" t="str">
        <f t="shared" ref="N31" si="11">IF(M31&gt;509,"Yes","NO")</f>
        <v>NO</v>
      </c>
      <c r="O31" s="699" t="str">
        <f t="shared" ref="O31" si="12">IF(N31="Yes","S","")</f>
        <v/>
      </c>
    </row>
    <row r="32" spans="1:15" ht="24" thickBot="1" x14ac:dyDescent="0.3">
      <c r="A32" s="383" t="s">
        <v>78</v>
      </c>
      <c r="B32" s="1670" t="s">
        <v>127</v>
      </c>
      <c r="C32" s="1671"/>
      <c r="D32" s="1671"/>
      <c r="E32" s="1671"/>
      <c r="F32" s="1671"/>
      <c r="G32" s="1671"/>
      <c r="H32" s="1671"/>
      <c r="I32" s="1671"/>
      <c r="J32" s="1671"/>
      <c r="K32" s="1671"/>
      <c r="L32" s="1671"/>
      <c r="M32" s="1672"/>
      <c r="N32" s="393"/>
      <c r="O32" s="690"/>
    </row>
    <row r="33" spans="1:15" ht="15.75" thickBot="1" x14ac:dyDescent="0.3"/>
    <row r="34" spans="1:15" ht="21" thickBot="1" x14ac:dyDescent="0.3">
      <c r="A34" s="1667" t="s">
        <v>267</v>
      </c>
      <c r="B34" s="1668"/>
      <c r="C34" s="1668"/>
      <c r="D34" s="1668"/>
      <c r="E34" s="1668"/>
      <c r="F34" s="1668"/>
      <c r="G34" s="1668"/>
      <c r="H34" s="1668"/>
      <c r="I34" s="1668"/>
      <c r="J34" s="1668"/>
      <c r="K34" s="1358"/>
      <c r="L34" s="1358"/>
      <c r="M34" s="1358"/>
      <c r="N34" s="1358"/>
      <c r="O34" s="1359"/>
    </row>
    <row r="35" spans="1:15" ht="26.25" thickBot="1" x14ac:dyDescent="0.3">
      <c r="A35" s="1349" t="s">
        <v>18</v>
      </c>
      <c r="B35" s="1350" t="s">
        <v>17</v>
      </c>
      <c r="C35" s="1351" t="s">
        <v>112</v>
      </c>
      <c r="D35" s="1352" t="s">
        <v>19</v>
      </c>
      <c r="E35" s="754" t="s">
        <v>113</v>
      </c>
      <c r="F35" s="1353" t="s">
        <v>114</v>
      </c>
      <c r="G35" s="1353" t="s">
        <v>129</v>
      </c>
      <c r="H35" s="1354" t="s">
        <v>116</v>
      </c>
      <c r="I35" s="1355" t="s">
        <v>117</v>
      </c>
      <c r="J35" s="132" t="s">
        <v>118</v>
      </c>
      <c r="K35" s="1353" t="s">
        <v>119</v>
      </c>
      <c r="L35" s="1354" t="s">
        <v>116</v>
      </c>
      <c r="M35" s="1035" t="s">
        <v>22</v>
      </c>
      <c r="N35" s="1356" t="s">
        <v>120</v>
      </c>
      <c r="O35" s="1357" t="s">
        <v>121</v>
      </c>
    </row>
    <row r="36" spans="1:15" ht="19.5" thickBot="1" x14ac:dyDescent="0.3">
      <c r="A36" s="1553" t="s">
        <v>170</v>
      </c>
      <c r="B36" s="1554">
        <v>169</v>
      </c>
      <c r="C36" s="1555" t="s">
        <v>9</v>
      </c>
      <c r="D36" s="1556" t="s">
        <v>7</v>
      </c>
      <c r="E36" s="1557">
        <v>124</v>
      </c>
      <c r="F36" s="1419">
        <v>125</v>
      </c>
      <c r="G36" s="1558"/>
      <c r="H36" s="558">
        <f>SUM($E36:$G36)</f>
        <v>249</v>
      </c>
      <c r="I36" s="1559">
        <v>79</v>
      </c>
      <c r="J36" s="1560">
        <v>84</v>
      </c>
      <c r="K36" s="1561">
        <v>90</v>
      </c>
      <c r="L36" s="558">
        <f>SUM($I36:$K36)</f>
        <v>253</v>
      </c>
      <c r="M36" s="448">
        <f>$H36+$L36</f>
        <v>502</v>
      </c>
      <c r="N36" s="1676"/>
      <c r="O36" s="1677"/>
    </row>
    <row r="37" spans="1:15" ht="21.75" thickBot="1" x14ac:dyDescent="0.3">
      <c r="A37" s="950" t="s">
        <v>78</v>
      </c>
      <c r="B37" s="1673" t="s">
        <v>127</v>
      </c>
      <c r="C37" s="1674"/>
      <c r="D37" s="1674"/>
      <c r="E37" s="1674"/>
      <c r="F37" s="1674"/>
      <c r="G37" s="1674"/>
      <c r="H37" s="1674"/>
      <c r="I37" s="1674"/>
      <c r="J37" s="1674"/>
      <c r="K37" s="1674"/>
      <c r="L37" s="1675"/>
    </row>
    <row r="38" spans="1:15" ht="15.75" thickBot="1" x14ac:dyDescent="0.3"/>
    <row r="39" spans="1:15" ht="21" thickBot="1" x14ac:dyDescent="0.3">
      <c r="A39" s="1667" t="s">
        <v>207</v>
      </c>
      <c r="B39" s="1668"/>
      <c r="C39" s="1668"/>
      <c r="D39" s="1668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1669"/>
    </row>
    <row r="40" spans="1:15" ht="36.75" thickBot="1" x14ac:dyDescent="0.3">
      <c r="A40" s="385" t="s">
        <v>18</v>
      </c>
      <c r="B40" s="386" t="s">
        <v>17</v>
      </c>
      <c r="C40" s="387" t="s">
        <v>112</v>
      </c>
      <c r="D40" s="388" t="s">
        <v>19</v>
      </c>
      <c r="E40" s="389" t="s">
        <v>113</v>
      </c>
      <c r="F40" s="390" t="s">
        <v>114</v>
      </c>
      <c r="G40" s="387" t="s">
        <v>115</v>
      </c>
      <c r="H40" s="522" t="s">
        <v>116</v>
      </c>
      <c r="I40" s="389" t="s">
        <v>117</v>
      </c>
      <c r="J40" s="390" t="s">
        <v>118</v>
      </c>
      <c r="K40" s="523" t="s">
        <v>119</v>
      </c>
      <c r="L40" s="962" t="s">
        <v>116</v>
      </c>
      <c r="M40" s="963" t="s">
        <v>22</v>
      </c>
      <c r="N40" s="964" t="s">
        <v>120</v>
      </c>
      <c r="O40" s="965" t="s">
        <v>121</v>
      </c>
    </row>
    <row r="41" spans="1:15" ht="18" x14ac:dyDescent="0.25">
      <c r="A41" s="966" t="s">
        <v>254</v>
      </c>
      <c r="B41" s="1052">
        <v>1310</v>
      </c>
      <c r="C41" s="373" t="s">
        <v>9</v>
      </c>
      <c r="D41" s="433" t="s">
        <v>11</v>
      </c>
      <c r="E41" s="600">
        <v>86</v>
      </c>
      <c r="F41" s="347">
        <v>92</v>
      </c>
      <c r="G41" s="375">
        <v>84</v>
      </c>
      <c r="H41" s="374">
        <f t="shared" ref="H41:H48" si="13">SUM($E41:$G41)</f>
        <v>262</v>
      </c>
      <c r="I41" s="600">
        <v>93</v>
      </c>
      <c r="J41" s="347">
        <v>90</v>
      </c>
      <c r="K41" s="375">
        <v>93</v>
      </c>
      <c r="L41" s="509">
        <f t="shared" ref="L41:L48" si="14">SUM($I41:$K41)</f>
        <v>276</v>
      </c>
      <c r="M41" s="1380">
        <f t="shared" ref="M41:M48" si="15">$H41+$L41</f>
        <v>538</v>
      </c>
      <c r="N41" s="816"/>
      <c r="O41" s="695"/>
    </row>
    <row r="42" spans="1:15" ht="18" x14ac:dyDescent="0.25">
      <c r="A42" s="1044" t="s">
        <v>289</v>
      </c>
      <c r="B42" s="1053">
        <v>2026</v>
      </c>
      <c r="C42" s="369" t="s">
        <v>9</v>
      </c>
      <c r="D42" s="332" t="s">
        <v>61</v>
      </c>
      <c r="E42" s="333">
        <v>132</v>
      </c>
      <c r="F42" s="334">
        <v>128</v>
      </c>
      <c r="G42" s="335"/>
      <c r="H42" s="336">
        <f t="shared" si="13"/>
        <v>260</v>
      </c>
      <c r="I42" s="333">
        <v>84</v>
      </c>
      <c r="J42" s="334">
        <v>93</v>
      </c>
      <c r="K42" s="335">
        <v>92</v>
      </c>
      <c r="L42" s="1045">
        <f t="shared" si="14"/>
        <v>269</v>
      </c>
      <c r="M42" s="1516">
        <f t="shared" si="15"/>
        <v>529</v>
      </c>
      <c r="N42" s="1047"/>
      <c r="O42" s="696"/>
    </row>
    <row r="43" spans="1:15" ht="18" x14ac:dyDescent="0.25">
      <c r="A43" s="1044" t="s">
        <v>255</v>
      </c>
      <c r="B43" s="1053">
        <v>2038</v>
      </c>
      <c r="C43" s="369" t="s">
        <v>9</v>
      </c>
      <c r="D43" s="370" t="s">
        <v>11</v>
      </c>
      <c r="E43" s="333">
        <v>86</v>
      </c>
      <c r="F43" s="334">
        <v>83</v>
      </c>
      <c r="G43" s="335">
        <v>79</v>
      </c>
      <c r="H43" s="336">
        <f t="shared" si="13"/>
        <v>248</v>
      </c>
      <c r="I43" s="333">
        <v>90</v>
      </c>
      <c r="J43" s="334">
        <v>90</v>
      </c>
      <c r="K43" s="335">
        <v>88</v>
      </c>
      <c r="L43" s="1045">
        <f t="shared" si="14"/>
        <v>268</v>
      </c>
      <c r="M43" s="1516">
        <f t="shared" si="15"/>
        <v>516</v>
      </c>
      <c r="N43" s="342"/>
      <c r="O43" s="1051" t="str">
        <f>IF(N43="Yes","M","")</f>
        <v/>
      </c>
    </row>
    <row r="44" spans="1:15" ht="18" x14ac:dyDescent="0.25">
      <c r="A44" s="1049" t="s">
        <v>284</v>
      </c>
      <c r="B44" s="1055">
        <v>1890</v>
      </c>
      <c r="C44" s="350" t="s">
        <v>9</v>
      </c>
      <c r="D44" s="475" t="s">
        <v>61</v>
      </c>
      <c r="E44" s="365">
        <v>109</v>
      </c>
      <c r="F44" s="353">
        <v>126</v>
      </c>
      <c r="G44" s="366"/>
      <c r="H44" s="336">
        <f t="shared" si="13"/>
        <v>235</v>
      </c>
      <c r="I44" s="365">
        <v>88</v>
      </c>
      <c r="J44" s="353">
        <v>86</v>
      </c>
      <c r="K44" s="366">
        <v>88</v>
      </c>
      <c r="L44" s="1045">
        <f t="shared" si="14"/>
        <v>262</v>
      </c>
      <c r="M44" s="1516">
        <f t="shared" si="15"/>
        <v>497</v>
      </c>
      <c r="N44" s="368"/>
      <c r="O44" s="698"/>
    </row>
    <row r="45" spans="1:15" ht="18" x14ac:dyDescent="0.25">
      <c r="A45" s="1502" t="s">
        <v>294</v>
      </c>
      <c r="B45" s="1514">
        <v>1929</v>
      </c>
      <c r="C45" s="1034" t="s">
        <v>9</v>
      </c>
      <c r="D45" s="716" t="s">
        <v>61</v>
      </c>
      <c r="E45" s="1476">
        <v>120</v>
      </c>
      <c r="F45" s="1477">
        <v>126</v>
      </c>
      <c r="G45" s="1478"/>
      <c r="H45" s="1317">
        <f t="shared" si="13"/>
        <v>246</v>
      </c>
      <c r="I45" s="1476">
        <v>95</v>
      </c>
      <c r="J45" s="1477">
        <v>81</v>
      </c>
      <c r="K45" s="1478">
        <v>74</v>
      </c>
      <c r="L45" s="1515">
        <f t="shared" si="14"/>
        <v>250</v>
      </c>
      <c r="M45" s="1517">
        <f t="shared" si="15"/>
        <v>496</v>
      </c>
      <c r="N45" s="1503"/>
      <c r="O45" s="1504"/>
    </row>
    <row r="46" spans="1:15" ht="18" x14ac:dyDescent="0.25">
      <c r="A46" s="1050" t="s">
        <v>256</v>
      </c>
      <c r="B46" s="1054">
        <v>1901</v>
      </c>
      <c r="C46" s="331" t="s">
        <v>9</v>
      </c>
      <c r="D46" s="332" t="s">
        <v>11</v>
      </c>
      <c r="E46" s="333">
        <v>67</v>
      </c>
      <c r="F46" s="334">
        <v>73</v>
      </c>
      <c r="G46" s="335">
        <v>91</v>
      </c>
      <c r="H46" s="336">
        <f t="shared" si="13"/>
        <v>231</v>
      </c>
      <c r="I46" s="333">
        <v>80</v>
      </c>
      <c r="J46" s="334">
        <v>87</v>
      </c>
      <c r="K46" s="335">
        <v>93</v>
      </c>
      <c r="L46" s="1045">
        <f t="shared" si="14"/>
        <v>260</v>
      </c>
      <c r="M46" s="1516">
        <f t="shared" si="15"/>
        <v>491</v>
      </c>
      <c r="N46" s="342"/>
      <c r="O46" s="1051"/>
    </row>
    <row r="47" spans="1:15" ht="18" x14ac:dyDescent="0.25">
      <c r="A47" s="1050" t="s">
        <v>293</v>
      </c>
      <c r="B47" s="1054">
        <v>1927</v>
      </c>
      <c r="C47" s="331" t="s">
        <v>9</v>
      </c>
      <c r="D47" s="332" t="s">
        <v>61</v>
      </c>
      <c r="E47" s="333">
        <v>118</v>
      </c>
      <c r="F47" s="334">
        <v>113</v>
      </c>
      <c r="G47" s="335"/>
      <c r="H47" s="336">
        <f t="shared" si="13"/>
        <v>231</v>
      </c>
      <c r="I47" s="333">
        <v>85</v>
      </c>
      <c r="J47" s="334">
        <v>85</v>
      </c>
      <c r="K47" s="335">
        <v>84</v>
      </c>
      <c r="L47" s="1045">
        <f t="shared" si="14"/>
        <v>254</v>
      </c>
      <c r="M47" s="1516">
        <f t="shared" si="15"/>
        <v>485</v>
      </c>
      <c r="N47" s="342"/>
      <c r="O47" s="1051"/>
    </row>
    <row r="48" spans="1:15" ht="18.75" thickBot="1" x14ac:dyDescent="0.3">
      <c r="A48" s="1509" t="s">
        <v>257</v>
      </c>
      <c r="B48" s="1552">
        <v>1964</v>
      </c>
      <c r="C48" s="575" t="s">
        <v>9</v>
      </c>
      <c r="D48" s="849" t="s">
        <v>11</v>
      </c>
      <c r="E48" s="813">
        <v>65</v>
      </c>
      <c r="F48" s="602">
        <v>58</v>
      </c>
      <c r="G48" s="603">
        <v>80</v>
      </c>
      <c r="H48" s="812">
        <f t="shared" si="13"/>
        <v>203</v>
      </c>
      <c r="I48" s="813">
        <v>88</v>
      </c>
      <c r="J48" s="602">
        <v>73</v>
      </c>
      <c r="K48" s="603">
        <v>84</v>
      </c>
      <c r="L48" s="814">
        <f t="shared" si="14"/>
        <v>245</v>
      </c>
      <c r="M48" s="1518">
        <f t="shared" si="15"/>
        <v>448</v>
      </c>
      <c r="N48" s="692"/>
      <c r="O48" s="699" t="str">
        <f t="shared" ref="O48" si="16">IF(N48="Yes","S","")</f>
        <v/>
      </c>
    </row>
    <row r="49" spans="1:15" ht="24" thickBot="1" x14ac:dyDescent="0.3">
      <c r="A49" s="383" t="s">
        <v>78</v>
      </c>
      <c r="B49" s="1670" t="s">
        <v>140</v>
      </c>
      <c r="C49" s="1671"/>
      <c r="D49" s="1671"/>
      <c r="E49" s="1671"/>
      <c r="F49" s="1671"/>
      <c r="G49" s="1671"/>
      <c r="H49" s="1671"/>
      <c r="I49" s="1671"/>
      <c r="J49" s="1671"/>
      <c r="K49" s="1671"/>
      <c r="L49" s="1671"/>
      <c r="M49" s="1672"/>
      <c r="N49" s="393"/>
      <c r="O49" s="690"/>
    </row>
  </sheetData>
  <sortState ref="A48:M54">
    <sortCondition descending="1" ref="M47"/>
  </sortState>
  <mergeCells count="11">
    <mergeCell ref="A39:O39"/>
    <mergeCell ref="B49:M49"/>
    <mergeCell ref="A3:S3"/>
    <mergeCell ref="A26:O26"/>
    <mergeCell ref="B37:L37"/>
    <mergeCell ref="B32:M32"/>
    <mergeCell ref="N36:O36"/>
    <mergeCell ref="A5:O5"/>
    <mergeCell ref="N8:O8"/>
    <mergeCell ref="B22:M22"/>
    <mergeCell ref="A34:J34"/>
  </mergeCells>
  <pageMargins left="0.19685039370078741" right="0.19685039370078741" top="0.19685039370078741" bottom="0.19685039370078741" header="0.31496062992125984" footer="0.31496062992125984"/>
  <pageSetup paperSize="9" scale="93" fitToHeight="0" orientation="landscape" r:id="rId1"/>
  <rowBreaks count="1" manualBreakCount="1">
    <brk id="2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4"/>
  <sheetViews>
    <sheetView topLeftCell="A36" workbookViewId="0">
      <selection activeCell="A38" sqref="A38:N46"/>
    </sheetView>
  </sheetViews>
  <sheetFormatPr defaultRowHeight="15" x14ac:dyDescent="0.25"/>
  <cols>
    <col min="1" max="1" width="1.5703125" customWidth="1"/>
    <col min="2" max="2" width="25.7109375" customWidth="1"/>
    <col min="15" max="15" width="1.28515625" customWidth="1"/>
    <col min="16" max="16" width="0.42578125" customWidth="1"/>
    <col min="17" max="17" width="0.28515625" hidden="1" customWidth="1"/>
    <col min="18" max="18" width="0.42578125" hidden="1" customWidth="1"/>
    <col min="19" max="19" width="0.5703125" hidden="1" customWidth="1"/>
    <col min="20" max="20" width="0.140625" hidden="1" customWidth="1"/>
  </cols>
  <sheetData>
    <row r="1" spans="2:20" ht="15.75" thickBot="1" x14ac:dyDescent="0.3"/>
    <row r="2" spans="2:20" ht="21.75" thickBot="1" x14ac:dyDescent="0.3">
      <c r="B2" s="1618" t="s">
        <v>206</v>
      </c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  <c r="O2" s="1619"/>
      <c r="P2" s="1619"/>
      <c r="Q2" s="1619"/>
      <c r="R2" s="1619"/>
      <c r="S2" s="1619"/>
      <c r="T2" s="1620"/>
    </row>
    <row r="3" spans="2:20" ht="16.5" thickBot="1" x14ac:dyDescent="0.3">
      <c r="B3" s="411"/>
      <c r="C3" s="412"/>
      <c r="D3" s="411"/>
      <c r="H3" s="2"/>
      <c r="L3" s="413"/>
      <c r="M3" s="414"/>
    </row>
    <row r="4" spans="2:20" ht="21" thickBot="1" x14ac:dyDescent="0.3">
      <c r="B4" s="1667" t="s">
        <v>159</v>
      </c>
      <c r="C4" s="1668"/>
      <c r="D4" s="1668"/>
      <c r="E4" s="1668"/>
      <c r="F4" s="1668"/>
      <c r="G4" s="1668"/>
      <c r="H4" s="1668"/>
      <c r="I4" s="1668"/>
      <c r="J4" s="1668"/>
      <c r="K4" s="1668"/>
      <c r="L4" s="1668"/>
      <c r="M4" s="1668"/>
      <c r="N4" s="1669"/>
    </row>
    <row r="5" spans="2:20" ht="26.25" thickBot="1" x14ac:dyDescent="0.3">
      <c r="B5" s="415" t="s">
        <v>18</v>
      </c>
      <c r="C5" s="416" t="s">
        <v>17</v>
      </c>
      <c r="D5" s="387" t="s">
        <v>112</v>
      </c>
      <c r="E5" s="388" t="s">
        <v>19</v>
      </c>
      <c r="F5" s="417" t="s">
        <v>113</v>
      </c>
      <c r="G5" s="418" t="s">
        <v>114</v>
      </c>
      <c r="H5" s="418" t="s">
        <v>129</v>
      </c>
      <c r="I5" s="418" t="s">
        <v>130</v>
      </c>
      <c r="J5" s="418" t="s">
        <v>131</v>
      </c>
      <c r="K5" s="418" t="s">
        <v>132</v>
      </c>
      <c r="L5" s="419" t="s">
        <v>22</v>
      </c>
      <c r="M5" s="420" t="s">
        <v>120</v>
      </c>
      <c r="N5" s="386" t="s">
        <v>121</v>
      </c>
    </row>
    <row r="6" spans="2:20" ht="18.75" x14ac:dyDescent="0.25">
      <c r="B6" s="782" t="s">
        <v>54</v>
      </c>
      <c r="C6" s="952">
        <v>2</v>
      </c>
      <c r="D6" s="783" t="s">
        <v>3</v>
      </c>
      <c r="E6" s="953" t="s">
        <v>7</v>
      </c>
      <c r="F6" s="426">
        <v>84</v>
      </c>
      <c r="G6" s="97">
        <v>88</v>
      </c>
      <c r="H6" s="97">
        <v>89</v>
      </c>
      <c r="I6" s="97">
        <v>88</v>
      </c>
      <c r="J6" s="97">
        <v>93</v>
      </c>
      <c r="K6" s="427">
        <v>96</v>
      </c>
      <c r="L6" s="954">
        <f>SUM(F6:K6)</f>
        <v>538</v>
      </c>
      <c r="M6" s="549"/>
      <c r="N6" s="550"/>
    </row>
    <row r="7" spans="2:20" ht="19.5" thickBot="1" x14ac:dyDescent="0.3">
      <c r="B7" s="471" t="s">
        <v>122</v>
      </c>
      <c r="C7" s="372">
        <v>1383</v>
      </c>
      <c r="D7" s="371" t="s">
        <v>3</v>
      </c>
      <c r="E7" s="404" t="s">
        <v>12</v>
      </c>
      <c r="F7" s="166">
        <v>93</v>
      </c>
      <c r="G7" s="102">
        <v>88</v>
      </c>
      <c r="H7" s="102">
        <v>86</v>
      </c>
      <c r="I7" s="102">
        <v>93</v>
      </c>
      <c r="J7" s="102">
        <v>85</v>
      </c>
      <c r="K7" s="168">
        <v>89</v>
      </c>
      <c r="L7" s="1308">
        <f t="shared" ref="L7" si="0">SUM(F7:K7)</f>
        <v>534</v>
      </c>
      <c r="M7" s="549"/>
      <c r="N7" s="550"/>
    </row>
    <row r="8" spans="2:20" ht="18.75" x14ac:dyDescent="0.25">
      <c r="B8" s="343" t="s">
        <v>231</v>
      </c>
      <c r="C8" s="348">
        <v>647</v>
      </c>
      <c r="D8" s="345" t="s">
        <v>4</v>
      </c>
      <c r="E8" s="597" t="s">
        <v>10</v>
      </c>
      <c r="F8" s="1070">
        <v>88</v>
      </c>
      <c r="G8" s="30">
        <v>89</v>
      </c>
      <c r="H8" s="30">
        <v>92</v>
      </c>
      <c r="I8" s="30">
        <v>89</v>
      </c>
      <c r="J8" s="30">
        <v>84</v>
      </c>
      <c r="K8" s="434">
        <v>92</v>
      </c>
      <c r="L8" s="592">
        <f t="shared" ref="L8" si="1">SUM(F8:K8)</f>
        <v>534</v>
      </c>
      <c r="M8" s="702" t="str">
        <f t="shared" ref="M8" si="2">IF(L8&gt;559,"Yes","NO")</f>
        <v>NO</v>
      </c>
      <c r="N8" s="423"/>
    </row>
    <row r="9" spans="2:20" ht="18.75" x14ac:dyDescent="0.25">
      <c r="B9" s="379" t="s">
        <v>197</v>
      </c>
      <c r="C9" s="355">
        <v>1310</v>
      </c>
      <c r="D9" s="350" t="s">
        <v>4</v>
      </c>
      <c r="E9" s="475" t="s">
        <v>11</v>
      </c>
      <c r="F9" s="333">
        <v>106</v>
      </c>
      <c r="G9" s="334">
        <v>103</v>
      </c>
      <c r="H9" s="334">
        <v>102</v>
      </c>
      <c r="I9" s="334">
        <v>101</v>
      </c>
      <c r="J9" s="334">
        <v>105</v>
      </c>
      <c r="K9" s="335"/>
      <c r="L9" s="593">
        <f>SUM(F9:K9)</f>
        <v>517</v>
      </c>
      <c r="M9" s="425" t="str">
        <f t="shared" ref="M9:M11" si="3">IF(L9&gt;559,"Yes","NO")</f>
        <v>NO</v>
      </c>
      <c r="N9" s="410"/>
    </row>
    <row r="10" spans="2:20" ht="18.75" x14ac:dyDescent="0.25">
      <c r="B10" s="339" t="s">
        <v>170</v>
      </c>
      <c r="C10" s="338">
        <v>169</v>
      </c>
      <c r="D10" s="331" t="s">
        <v>4</v>
      </c>
      <c r="E10" s="332" t="s">
        <v>7</v>
      </c>
      <c r="F10" s="114">
        <v>86</v>
      </c>
      <c r="G10" s="49">
        <v>78</v>
      </c>
      <c r="H10" s="49">
        <v>91</v>
      </c>
      <c r="I10" s="49">
        <v>84</v>
      </c>
      <c r="J10" s="49">
        <v>86</v>
      </c>
      <c r="K10" s="259">
        <v>85</v>
      </c>
      <c r="L10" s="594">
        <f>SUM(F10:K10)</f>
        <v>510</v>
      </c>
      <c r="M10" s="1303" t="str">
        <f>IF(L10&gt;559,"Yes","NO")</f>
        <v>NO</v>
      </c>
      <c r="N10" s="1310"/>
    </row>
    <row r="11" spans="2:20" ht="18.75" x14ac:dyDescent="0.25">
      <c r="B11" s="379" t="s">
        <v>175</v>
      </c>
      <c r="C11" s="355">
        <v>2218</v>
      </c>
      <c r="D11" s="350" t="s">
        <v>4</v>
      </c>
      <c r="E11" s="475" t="s">
        <v>7</v>
      </c>
      <c r="F11" s="134">
        <v>83</v>
      </c>
      <c r="G11" s="41">
        <v>81</v>
      </c>
      <c r="H11" s="41">
        <v>85</v>
      </c>
      <c r="I11" s="41">
        <v>86</v>
      </c>
      <c r="J11" s="41">
        <v>85</v>
      </c>
      <c r="K11" s="435">
        <v>87</v>
      </c>
      <c r="L11" s="593">
        <f>SUM(F11:K11)</f>
        <v>507</v>
      </c>
      <c r="M11" s="428" t="str">
        <f t="shared" si="3"/>
        <v>NO</v>
      </c>
      <c r="N11" s="410"/>
    </row>
    <row r="12" spans="2:20" ht="19.5" thickBot="1" x14ac:dyDescent="0.3">
      <c r="B12" s="1312" t="s">
        <v>288</v>
      </c>
      <c r="C12" s="1313">
        <v>1506</v>
      </c>
      <c r="D12" s="575" t="s">
        <v>4</v>
      </c>
      <c r="E12" s="849" t="s">
        <v>61</v>
      </c>
      <c r="F12" s="530">
        <v>87</v>
      </c>
      <c r="G12" s="108">
        <v>81</v>
      </c>
      <c r="H12" s="108">
        <v>85</v>
      </c>
      <c r="I12" s="108">
        <v>77</v>
      </c>
      <c r="J12" s="108">
        <v>80</v>
      </c>
      <c r="K12" s="529">
        <v>83</v>
      </c>
      <c r="L12" s="760">
        <f>SUM(F12:K12)</f>
        <v>493</v>
      </c>
      <c r="M12" s="703" t="str">
        <f t="shared" ref="M12" si="4">IF(L12&gt;559,"Yes","NO")</f>
        <v>NO</v>
      </c>
      <c r="N12" s="704" t="str">
        <f t="shared" ref="N12" si="5">IF(M12="Yes","M","")</f>
        <v/>
      </c>
    </row>
    <row r="13" spans="2:20" ht="18.75" x14ac:dyDescent="0.25">
      <c r="B13" s="379" t="s">
        <v>84</v>
      </c>
      <c r="C13" s="355">
        <v>1723</v>
      </c>
      <c r="D13" s="350" t="s">
        <v>6</v>
      </c>
      <c r="E13" s="475" t="s">
        <v>12</v>
      </c>
      <c r="F13" s="134">
        <v>86</v>
      </c>
      <c r="G13" s="41">
        <v>91</v>
      </c>
      <c r="H13" s="41">
        <v>94</v>
      </c>
      <c r="I13" s="41">
        <v>80</v>
      </c>
      <c r="J13" s="41">
        <v>90</v>
      </c>
      <c r="K13" s="41">
        <v>87</v>
      </c>
      <c r="L13" s="593">
        <f t="shared" ref="L13:L24" si="6">SUM(F13:K13)</f>
        <v>528</v>
      </c>
      <c r="M13" s="428" t="str">
        <f t="shared" ref="M13" si="7">IF(L13&gt;529,"Yes","NO")</f>
        <v>NO</v>
      </c>
      <c r="N13" s="408"/>
    </row>
    <row r="14" spans="2:20" ht="18.75" x14ac:dyDescent="0.25">
      <c r="B14" s="379" t="s">
        <v>56</v>
      </c>
      <c r="C14" s="355">
        <v>641</v>
      </c>
      <c r="D14" s="376" t="s">
        <v>6</v>
      </c>
      <c r="E14" s="364" t="s">
        <v>12</v>
      </c>
      <c r="F14" s="134">
        <v>85</v>
      </c>
      <c r="G14" s="41">
        <v>79</v>
      </c>
      <c r="H14" s="41">
        <v>92</v>
      </c>
      <c r="I14" s="41">
        <v>87</v>
      </c>
      <c r="J14" s="41">
        <v>85</v>
      </c>
      <c r="K14" s="435">
        <v>85</v>
      </c>
      <c r="L14" s="593">
        <f t="shared" si="6"/>
        <v>513</v>
      </c>
      <c r="M14" s="428" t="str">
        <f t="shared" ref="M14" si="8">IF(L14&gt;529,"Yes","NO")</f>
        <v>NO</v>
      </c>
      <c r="N14" s="408"/>
    </row>
    <row r="15" spans="2:20" ht="18.75" x14ac:dyDescent="0.25">
      <c r="B15" s="379" t="s">
        <v>289</v>
      </c>
      <c r="C15" s="355">
        <v>2026</v>
      </c>
      <c r="D15" s="350" t="s">
        <v>6</v>
      </c>
      <c r="E15" s="364" t="s">
        <v>61</v>
      </c>
      <c r="F15" s="365">
        <v>79</v>
      </c>
      <c r="G15" s="353">
        <v>87</v>
      </c>
      <c r="H15" s="353">
        <v>81</v>
      </c>
      <c r="I15" s="353">
        <v>88</v>
      </c>
      <c r="J15" s="353">
        <v>86</v>
      </c>
      <c r="K15" s="354">
        <v>91</v>
      </c>
      <c r="L15" s="593">
        <f t="shared" si="6"/>
        <v>512</v>
      </c>
      <c r="M15" s="428" t="str">
        <f t="shared" ref="M15:M18" si="9">IF(L15&gt;529,"Yes","NO")</f>
        <v>NO</v>
      </c>
      <c r="N15" s="408" t="str">
        <f t="shared" ref="N15" si="10">IF(M15="Yes","G","")</f>
        <v/>
      </c>
    </row>
    <row r="16" spans="2:20" ht="18.75" x14ac:dyDescent="0.25">
      <c r="B16" s="379" t="s">
        <v>198</v>
      </c>
      <c r="C16" s="355">
        <v>2039</v>
      </c>
      <c r="D16" s="350" t="s">
        <v>6</v>
      </c>
      <c r="E16" s="364" t="s">
        <v>11</v>
      </c>
      <c r="F16" s="365">
        <v>103</v>
      </c>
      <c r="G16" s="353">
        <v>97</v>
      </c>
      <c r="H16" s="353">
        <v>105</v>
      </c>
      <c r="I16" s="353">
        <v>99</v>
      </c>
      <c r="J16" s="353">
        <v>100</v>
      </c>
      <c r="K16" s="354"/>
      <c r="L16" s="593">
        <f t="shared" si="6"/>
        <v>504</v>
      </c>
      <c r="M16" s="428" t="str">
        <f t="shared" si="9"/>
        <v>NO</v>
      </c>
      <c r="N16" s="408"/>
    </row>
    <row r="17" spans="2:14" ht="18.75" x14ac:dyDescent="0.25">
      <c r="B17" s="339" t="s">
        <v>230</v>
      </c>
      <c r="C17" s="338">
        <v>1452</v>
      </c>
      <c r="D17" s="350" t="s">
        <v>6</v>
      </c>
      <c r="E17" s="364" t="s">
        <v>10</v>
      </c>
      <c r="F17" s="333">
        <v>79</v>
      </c>
      <c r="G17" s="334">
        <v>83</v>
      </c>
      <c r="H17" s="334">
        <v>81</v>
      </c>
      <c r="I17" s="334">
        <v>86</v>
      </c>
      <c r="J17" s="334">
        <v>86</v>
      </c>
      <c r="K17" s="1307">
        <v>75</v>
      </c>
      <c r="L17" s="594">
        <f t="shared" si="6"/>
        <v>490</v>
      </c>
      <c r="M17" s="425" t="str">
        <f t="shared" ref="M17" si="11">IF(L17&gt;529,"Yes","NO")</f>
        <v>NO</v>
      </c>
      <c r="N17" s="410"/>
    </row>
    <row r="18" spans="2:14" ht="19.5" thickBot="1" x14ac:dyDescent="0.3">
      <c r="B18" s="471" t="s">
        <v>165</v>
      </c>
      <c r="C18" s="372">
        <v>1628</v>
      </c>
      <c r="D18" s="715" t="s">
        <v>6</v>
      </c>
      <c r="E18" s="956" t="s">
        <v>11</v>
      </c>
      <c r="F18" s="957">
        <v>97</v>
      </c>
      <c r="G18" s="958">
        <v>101</v>
      </c>
      <c r="H18" s="958">
        <v>91</v>
      </c>
      <c r="I18" s="958">
        <v>95</v>
      </c>
      <c r="J18" s="958">
        <v>100</v>
      </c>
      <c r="K18" s="958"/>
      <c r="L18" s="959">
        <f t="shared" si="6"/>
        <v>484</v>
      </c>
      <c r="M18" s="706" t="str">
        <f t="shared" si="9"/>
        <v>NO</v>
      </c>
      <c r="N18" s="422" t="str">
        <f t="shared" ref="N18" si="12">IF(M18="Yes","G","")</f>
        <v/>
      </c>
    </row>
    <row r="19" spans="2:14" ht="18.75" x14ac:dyDescent="0.25">
      <c r="B19" s="505" t="s">
        <v>284</v>
      </c>
      <c r="C19" s="961">
        <v>1890</v>
      </c>
      <c r="D19" s="788" t="s">
        <v>5</v>
      </c>
      <c r="E19" s="597" t="s">
        <v>61</v>
      </c>
      <c r="F19" s="1398">
        <v>78</v>
      </c>
      <c r="G19" s="30">
        <v>83</v>
      </c>
      <c r="H19" s="30">
        <v>79</v>
      </c>
      <c r="I19" s="30">
        <v>86</v>
      </c>
      <c r="J19" s="30">
        <v>86</v>
      </c>
      <c r="K19" s="434">
        <v>62</v>
      </c>
      <c r="L19" s="592">
        <f t="shared" si="6"/>
        <v>474</v>
      </c>
      <c r="M19" s="702" t="str">
        <f t="shared" ref="M19:M24" si="13">IF(L19&gt;499,"Yes","NO")</f>
        <v>NO</v>
      </c>
      <c r="N19" s="423" t="str">
        <f t="shared" ref="N19:N24" si="14">IF(M19="Yes","S","")</f>
        <v/>
      </c>
    </row>
    <row r="20" spans="2:14" ht="18.75" x14ac:dyDescent="0.25">
      <c r="B20" s="507" t="s">
        <v>133</v>
      </c>
      <c r="C20" s="700">
        <v>2038</v>
      </c>
      <c r="D20" s="701" t="s">
        <v>5</v>
      </c>
      <c r="E20" s="716" t="s">
        <v>11</v>
      </c>
      <c r="F20" s="1476">
        <v>96</v>
      </c>
      <c r="G20" s="1477">
        <v>100</v>
      </c>
      <c r="H20" s="1477">
        <v>94</v>
      </c>
      <c r="I20" s="1477">
        <v>83</v>
      </c>
      <c r="J20" s="1477">
        <v>97</v>
      </c>
      <c r="K20" s="1478"/>
      <c r="L20" s="955">
        <f t="shared" si="6"/>
        <v>470</v>
      </c>
      <c r="M20" s="428" t="str">
        <f>IF(L20&gt;499,"Yes","NO")</f>
        <v>NO</v>
      </c>
      <c r="N20" s="408" t="str">
        <f>IF(M20="Yes","S","")</f>
        <v/>
      </c>
    </row>
    <row r="21" spans="2:14" ht="18.75" x14ac:dyDescent="0.25">
      <c r="B21" s="409" t="s">
        <v>232</v>
      </c>
      <c r="C21" s="567">
        <v>506</v>
      </c>
      <c r="D21" s="495" t="s">
        <v>5</v>
      </c>
      <c r="E21" s="332" t="s">
        <v>8</v>
      </c>
      <c r="F21" s="114">
        <v>71</v>
      </c>
      <c r="G21" s="49">
        <v>78</v>
      </c>
      <c r="H21" s="49">
        <v>73</v>
      </c>
      <c r="I21" s="49">
        <v>77</v>
      </c>
      <c r="J21" s="49">
        <v>84</v>
      </c>
      <c r="K21" s="1551">
        <v>85</v>
      </c>
      <c r="L21" s="594">
        <f t="shared" si="6"/>
        <v>468</v>
      </c>
      <c r="M21" s="425" t="str">
        <f t="shared" si="13"/>
        <v>NO</v>
      </c>
      <c r="N21" s="410" t="str">
        <f t="shared" si="14"/>
        <v/>
      </c>
    </row>
    <row r="22" spans="2:14" ht="18.75" x14ac:dyDescent="0.25">
      <c r="B22" s="451" t="s">
        <v>263</v>
      </c>
      <c r="C22" s="568">
        <v>1207</v>
      </c>
      <c r="D22" s="467" t="s">
        <v>5</v>
      </c>
      <c r="E22" s="370" t="s">
        <v>12</v>
      </c>
      <c r="F22" s="114">
        <v>71</v>
      </c>
      <c r="G22" s="49">
        <v>81</v>
      </c>
      <c r="H22" s="49">
        <v>87</v>
      </c>
      <c r="I22" s="49">
        <v>75</v>
      </c>
      <c r="J22" s="49">
        <v>69</v>
      </c>
      <c r="K22" s="259">
        <v>85</v>
      </c>
      <c r="L22" s="594">
        <f t="shared" si="6"/>
        <v>468</v>
      </c>
      <c r="M22" s="425" t="str">
        <f t="shared" si="13"/>
        <v>NO</v>
      </c>
      <c r="N22" s="410" t="str">
        <f t="shared" si="14"/>
        <v/>
      </c>
    </row>
    <row r="23" spans="2:14" ht="18.75" x14ac:dyDescent="0.25">
      <c r="B23" s="451" t="s">
        <v>257</v>
      </c>
      <c r="C23" s="568">
        <v>1964</v>
      </c>
      <c r="D23" s="467" t="s">
        <v>5</v>
      </c>
      <c r="E23" s="370" t="s">
        <v>11</v>
      </c>
      <c r="F23" s="114">
        <v>93</v>
      </c>
      <c r="G23" s="49">
        <v>91</v>
      </c>
      <c r="H23" s="49">
        <v>87</v>
      </c>
      <c r="I23" s="49">
        <v>89</v>
      </c>
      <c r="J23" s="49">
        <v>102</v>
      </c>
      <c r="K23" s="259"/>
      <c r="L23" s="594">
        <f t="shared" si="6"/>
        <v>462</v>
      </c>
      <c r="M23" s="425" t="str">
        <f t="shared" ref="M23" si="15">IF(L23&gt;499,"Yes","NO")</f>
        <v>NO</v>
      </c>
      <c r="N23" s="410"/>
    </row>
    <row r="24" spans="2:14" ht="18.75" x14ac:dyDescent="0.25">
      <c r="B24" s="451" t="s">
        <v>164</v>
      </c>
      <c r="C24" s="568">
        <v>1311</v>
      </c>
      <c r="D24" s="467" t="s">
        <v>5</v>
      </c>
      <c r="E24" s="370" t="s">
        <v>11</v>
      </c>
      <c r="F24" s="333">
        <v>93</v>
      </c>
      <c r="G24" s="334">
        <v>90</v>
      </c>
      <c r="H24" s="334">
        <v>90</v>
      </c>
      <c r="I24" s="334">
        <v>89</v>
      </c>
      <c r="J24" s="334">
        <v>94</v>
      </c>
      <c r="K24" s="335"/>
      <c r="L24" s="594">
        <f t="shared" si="6"/>
        <v>456</v>
      </c>
      <c r="M24" s="425" t="str">
        <f t="shared" si="13"/>
        <v>NO</v>
      </c>
      <c r="N24" s="410" t="str">
        <f t="shared" si="14"/>
        <v/>
      </c>
    </row>
    <row r="25" spans="2:14" ht="19.5" thickBot="1" x14ac:dyDescent="0.3">
      <c r="B25" s="960" t="s">
        <v>78</v>
      </c>
      <c r="C25" s="1684" t="s">
        <v>134</v>
      </c>
      <c r="D25" s="1684"/>
      <c r="E25" s="1684"/>
      <c r="F25" s="1684"/>
      <c r="G25" s="1684"/>
      <c r="H25" s="1684"/>
      <c r="I25" s="1684"/>
      <c r="J25" s="1684"/>
      <c r="K25" s="1684"/>
      <c r="L25" s="1684"/>
      <c r="M25" s="1685"/>
    </row>
    <row r="26" spans="2:14" ht="15.75" thickBot="1" x14ac:dyDescent="0.3"/>
    <row r="27" spans="2:14" ht="21" thickBot="1" x14ac:dyDescent="0.3">
      <c r="B27" s="1667" t="s">
        <v>160</v>
      </c>
      <c r="C27" s="1668"/>
      <c r="D27" s="1668"/>
      <c r="E27" s="1668"/>
      <c r="F27" s="1668"/>
      <c r="G27" s="1668"/>
      <c r="H27" s="1668"/>
      <c r="I27" s="1668"/>
      <c r="J27" s="1668"/>
      <c r="K27" s="1668"/>
      <c r="L27" s="1365"/>
      <c r="M27" s="1366"/>
      <c r="N27" s="1367"/>
    </row>
    <row r="28" spans="2:14" ht="26.25" thickBot="1" x14ac:dyDescent="0.3">
      <c r="B28" s="1360" t="s">
        <v>18</v>
      </c>
      <c r="C28" s="1350" t="s">
        <v>17</v>
      </c>
      <c r="D28" s="1351" t="s">
        <v>112</v>
      </c>
      <c r="E28" s="1352" t="s">
        <v>19</v>
      </c>
      <c r="F28" s="1361" t="s">
        <v>113</v>
      </c>
      <c r="G28" s="1362" t="s">
        <v>114</v>
      </c>
      <c r="H28" s="1362" t="s">
        <v>129</v>
      </c>
      <c r="I28" s="1362" t="s">
        <v>130</v>
      </c>
      <c r="J28" s="1362" t="s">
        <v>131</v>
      </c>
      <c r="K28" s="1362" t="s">
        <v>132</v>
      </c>
      <c r="L28" s="1035" t="s">
        <v>22</v>
      </c>
      <c r="M28" s="1363" t="s">
        <v>120</v>
      </c>
      <c r="N28" s="1364" t="s">
        <v>121</v>
      </c>
    </row>
    <row r="29" spans="2:14" ht="18.75" x14ac:dyDescent="0.25">
      <c r="B29" s="443" t="s">
        <v>128</v>
      </c>
      <c r="C29" s="598">
        <v>1809</v>
      </c>
      <c r="D29" s="345" t="s">
        <v>135</v>
      </c>
      <c r="E29" s="597" t="s">
        <v>8</v>
      </c>
      <c r="F29" s="1501">
        <v>90</v>
      </c>
      <c r="G29" s="30">
        <v>94</v>
      </c>
      <c r="H29" s="30">
        <v>93</v>
      </c>
      <c r="I29" s="30">
        <v>93</v>
      </c>
      <c r="J29" s="30">
        <v>85</v>
      </c>
      <c r="K29" s="434">
        <v>89</v>
      </c>
      <c r="L29" s="397">
        <f t="shared" ref="L29:L35" si="16">SUM(F29:K29)</f>
        <v>544</v>
      </c>
      <c r="M29" s="1311" t="str">
        <f t="shared" ref="M29" si="17">IF(L29&gt;559,"Yes","NO")</f>
        <v>NO</v>
      </c>
      <c r="N29" s="1309" t="str">
        <f>IF(M29="Yes","M","")</f>
        <v/>
      </c>
    </row>
    <row r="30" spans="2:14" ht="19.5" thickBot="1" x14ac:dyDescent="0.3">
      <c r="B30" s="444" t="s">
        <v>57</v>
      </c>
      <c r="C30" s="436">
        <v>1476</v>
      </c>
      <c r="D30" s="421" t="s">
        <v>135</v>
      </c>
      <c r="E30" s="437" t="s">
        <v>7</v>
      </c>
      <c r="F30" s="438">
        <v>92</v>
      </c>
      <c r="G30" s="58">
        <v>88</v>
      </c>
      <c r="H30" s="58">
        <v>91</v>
      </c>
      <c r="I30" s="58">
        <v>90</v>
      </c>
      <c r="J30" s="58">
        <v>88</v>
      </c>
      <c r="K30" s="122">
        <v>90</v>
      </c>
      <c r="L30" s="406">
        <f t="shared" si="16"/>
        <v>539</v>
      </c>
      <c r="M30" s="1306" t="str">
        <f t="shared" ref="M30" si="18">IF(L30&gt;559,"Yes","NO")</f>
        <v>NO</v>
      </c>
      <c r="N30" s="1310"/>
    </row>
    <row r="31" spans="2:14" ht="18.75" x14ac:dyDescent="0.25">
      <c r="B31" s="898" t="s">
        <v>274</v>
      </c>
      <c r="C31" s="714">
        <v>2521</v>
      </c>
      <c r="D31" s="1034" t="s">
        <v>14</v>
      </c>
      <c r="E31" s="716" t="s">
        <v>8</v>
      </c>
      <c r="F31" s="1033">
        <v>86</v>
      </c>
      <c r="G31" s="66">
        <v>74</v>
      </c>
      <c r="H31" s="66">
        <v>79</v>
      </c>
      <c r="I31" s="66">
        <v>83</v>
      </c>
      <c r="J31" s="66">
        <v>78</v>
      </c>
      <c r="K31" s="707">
        <v>79</v>
      </c>
      <c r="L31" s="1035">
        <f t="shared" si="16"/>
        <v>479</v>
      </c>
      <c r="M31" s="467" t="str">
        <f t="shared" ref="M31:M33" si="19">IF(L31&gt;499,"Yes","NO")</f>
        <v>NO</v>
      </c>
      <c r="N31" s="1310"/>
    </row>
    <row r="32" spans="2:14" ht="18.75" x14ac:dyDescent="0.25">
      <c r="B32" s="1094" t="s">
        <v>275</v>
      </c>
      <c r="C32" s="599">
        <v>2520</v>
      </c>
      <c r="D32" s="331" t="s">
        <v>14</v>
      </c>
      <c r="E32" s="332" t="s">
        <v>8</v>
      </c>
      <c r="F32" s="114">
        <v>75</v>
      </c>
      <c r="G32" s="49">
        <v>80</v>
      </c>
      <c r="H32" s="49">
        <v>78</v>
      </c>
      <c r="I32" s="49">
        <v>76</v>
      </c>
      <c r="J32" s="49">
        <v>60</v>
      </c>
      <c r="K32" s="259">
        <v>71</v>
      </c>
      <c r="L32" s="403">
        <f t="shared" si="16"/>
        <v>440</v>
      </c>
      <c r="M32" s="467" t="str">
        <f t="shared" si="19"/>
        <v>NO</v>
      </c>
      <c r="N32" s="1374"/>
    </row>
    <row r="33" spans="2:15" ht="18.75" x14ac:dyDescent="0.25">
      <c r="B33" s="517" t="s">
        <v>282</v>
      </c>
      <c r="C33" s="474" t="s">
        <v>283</v>
      </c>
      <c r="D33" s="350" t="s">
        <v>14</v>
      </c>
      <c r="E33" s="475" t="s">
        <v>12</v>
      </c>
      <c r="F33" s="134">
        <v>71</v>
      </c>
      <c r="G33" s="41">
        <v>70</v>
      </c>
      <c r="H33" s="41">
        <v>65</v>
      </c>
      <c r="I33" s="41">
        <v>77</v>
      </c>
      <c r="J33" s="41">
        <v>80</v>
      </c>
      <c r="K33" s="435">
        <v>72</v>
      </c>
      <c r="L33" s="403">
        <f t="shared" si="16"/>
        <v>435</v>
      </c>
      <c r="M33" s="467" t="str">
        <f t="shared" si="19"/>
        <v>NO</v>
      </c>
      <c r="N33" s="1375"/>
    </row>
    <row r="34" spans="2:15" ht="18.75" x14ac:dyDescent="0.25">
      <c r="B34" s="517" t="s">
        <v>125</v>
      </c>
      <c r="C34" s="474">
        <v>1143</v>
      </c>
      <c r="D34" s="350" t="s">
        <v>14</v>
      </c>
      <c r="E34" s="475" t="s">
        <v>8</v>
      </c>
      <c r="F34" s="134">
        <v>60</v>
      </c>
      <c r="G34" s="41">
        <v>70</v>
      </c>
      <c r="H34" s="41">
        <v>77</v>
      </c>
      <c r="I34" s="41">
        <v>66</v>
      </c>
      <c r="J34" s="41">
        <v>74</v>
      </c>
      <c r="K34" s="435">
        <v>62</v>
      </c>
      <c r="L34" s="403">
        <f t="shared" si="16"/>
        <v>409</v>
      </c>
      <c r="M34" s="467" t="str">
        <f t="shared" ref="M34" si="20">IF(L34&gt;499,"Yes","NO")</f>
        <v>NO</v>
      </c>
      <c r="N34" s="1375"/>
    </row>
    <row r="35" spans="2:15" ht="19.5" thickBot="1" x14ac:dyDescent="0.3">
      <c r="B35" s="517" t="s">
        <v>252</v>
      </c>
      <c r="C35" s="474" t="s">
        <v>249</v>
      </c>
      <c r="D35" s="350" t="s">
        <v>14</v>
      </c>
      <c r="E35" s="475" t="s">
        <v>8</v>
      </c>
      <c r="F35" s="134">
        <v>50</v>
      </c>
      <c r="G35" s="41">
        <v>42</v>
      </c>
      <c r="H35" s="41">
        <v>40</v>
      </c>
      <c r="I35" s="41">
        <v>32</v>
      </c>
      <c r="J35" s="41">
        <v>25</v>
      </c>
      <c r="K35" s="435">
        <v>30</v>
      </c>
      <c r="L35" s="760">
        <f t="shared" si="16"/>
        <v>219</v>
      </c>
      <c r="M35" s="787" t="str">
        <f t="shared" ref="M35" si="21">IF(L35&gt;499,"Yes","NO")</f>
        <v>NO</v>
      </c>
      <c r="N35" s="1375" t="str">
        <f t="shared" ref="N35" si="22">IF(M35="Yes","S","")</f>
        <v/>
      </c>
    </row>
    <row r="36" spans="2:15" ht="16.5" thickBot="1" x14ac:dyDescent="0.3">
      <c r="B36" s="604" t="s">
        <v>78</v>
      </c>
      <c r="C36" s="1680" t="s">
        <v>134</v>
      </c>
      <c r="D36" s="1681"/>
      <c r="E36" s="1681"/>
      <c r="F36" s="1681"/>
      <c r="G36" s="1681"/>
      <c r="H36" s="1681"/>
      <c r="I36" s="1681"/>
      <c r="J36" s="1681"/>
      <c r="K36" s="1682"/>
      <c r="L36" s="440">
        <f>COUNTA(C31:C35)</f>
        <v>5</v>
      </c>
      <c r="N36" s="441"/>
    </row>
    <row r="37" spans="2:15" ht="15.75" thickBot="1" x14ac:dyDescent="0.3"/>
    <row r="38" spans="2:15" ht="21" thickBot="1" x14ac:dyDescent="0.3">
      <c r="B38" s="1667" t="s">
        <v>136</v>
      </c>
      <c r="C38" s="1668"/>
      <c r="D38" s="1668"/>
      <c r="E38" s="1668"/>
      <c r="F38" s="1668"/>
      <c r="G38" s="1668"/>
      <c r="H38" s="1668"/>
      <c r="I38" s="1668"/>
      <c r="J38" s="1668"/>
      <c r="K38" s="1668"/>
      <c r="L38" s="1668"/>
      <c r="M38" s="1365"/>
      <c r="N38" s="1373"/>
      <c r="O38" s="3"/>
    </row>
    <row r="39" spans="2:15" ht="30.75" customHeight="1" thickBot="1" x14ac:dyDescent="0.3">
      <c r="B39" s="1349" t="s">
        <v>18</v>
      </c>
      <c r="C39" s="1368" t="s">
        <v>17</v>
      </c>
      <c r="D39" s="1369" t="s">
        <v>137</v>
      </c>
      <c r="E39" s="1370" t="s">
        <v>112</v>
      </c>
      <c r="F39" s="1371" t="s">
        <v>19</v>
      </c>
      <c r="G39" s="1361" t="s">
        <v>113</v>
      </c>
      <c r="H39" s="1362" t="s">
        <v>114</v>
      </c>
      <c r="I39" s="1362" t="s">
        <v>129</v>
      </c>
      <c r="J39" s="1362" t="s">
        <v>130</v>
      </c>
      <c r="K39" s="1362" t="s">
        <v>131</v>
      </c>
      <c r="L39" s="1362" t="s">
        <v>132</v>
      </c>
      <c r="M39" s="1035" t="s">
        <v>22</v>
      </c>
      <c r="N39" s="1372" t="s">
        <v>120</v>
      </c>
      <c r="O39" s="396" t="s">
        <v>121</v>
      </c>
    </row>
    <row r="40" spans="2:15" ht="18.75" x14ac:dyDescent="0.25">
      <c r="B40" s="765" t="s">
        <v>228</v>
      </c>
      <c r="C40" s="398">
        <v>2520</v>
      </c>
      <c r="D40" s="407" t="s">
        <v>260</v>
      </c>
      <c r="E40" s="1300" t="s">
        <v>5</v>
      </c>
      <c r="F40" s="1301" t="s">
        <v>8</v>
      </c>
      <c r="G40" s="1070">
        <v>75</v>
      </c>
      <c r="H40" s="30">
        <v>80</v>
      </c>
      <c r="I40" s="30">
        <v>78</v>
      </c>
      <c r="J40" s="30">
        <v>76</v>
      </c>
      <c r="K40" s="30">
        <v>60</v>
      </c>
      <c r="L40" s="434">
        <v>71</v>
      </c>
      <c r="M40" s="401">
        <f t="shared" ref="M40:M46" si="23">SUM(G40:L40)</f>
        <v>440</v>
      </c>
      <c r="N40" s="1302" t="str">
        <f t="shared" ref="N40:N42" si="24">IF(M40&gt;559,"Yes","NO")</f>
        <v>NO</v>
      </c>
      <c r="O40" s="1297"/>
    </row>
    <row r="41" spans="2:15" ht="18.75" x14ac:dyDescent="0.25">
      <c r="B41" s="466" t="s">
        <v>75</v>
      </c>
      <c r="C41" s="761">
        <v>1984</v>
      </c>
      <c r="D41" s="1094" t="s">
        <v>260</v>
      </c>
      <c r="E41" s="1039" t="s">
        <v>5</v>
      </c>
      <c r="F41" s="1040" t="s">
        <v>12</v>
      </c>
      <c r="G41" s="114">
        <v>57</v>
      </c>
      <c r="H41" s="49">
        <v>69</v>
      </c>
      <c r="I41" s="49">
        <v>66</v>
      </c>
      <c r="J41" s="49">
        <v>53</v>
      </c>
      <c r="K41" s="49">
        <v>56</v>
      </c>
      <c r="L41" s="259">
        <v>65</v>
      </c>
      <c r="M41" s="403">
        <f t="shared" si="23"/>
        <v>366</v>
      </c>
      <c r="N41" s="1303" t="str">
        <f t="shared" ref="N41" si="25">IF(M41&gt;559,"Yes","NO")</f>
        <v>NO</v>
      </c>
      <c r="O41" s="1298"/>
    </row>
    <row r="42" spans="2:15" ht="19.5" thickBot="1" x14ac:dyDescent="0.3">
      <c r="B42" s="1466" t="s">
        <v>246</v>
      </c>
      <c r="C42" s="1467">
        <v>1780</v>
      </c>
      <c r="D42" s="1468" t="s">
        <v>260</v>
      </c>
      <c r="E42" s="1469" t="s">
        <v>5</v>
      </c>
      <c r="F42" s="1470" t="s">
        <v>8</v>
      </c>
      <c r="G42" s="541">
        <v>51</v>
      </c>
      <c r="H42" s="102">
        <v>53</v>
      </c>
      <c r="I42" s="102">
        <v>57</v>
      </c>
      <c r="J42" s="102">
        <v>54</v>
      </c>
      <c r="K42" s="102">
        <v>55</v>
      </c>
      <c r="L42" s="1471">
        <v>49</v>
      </c>
      <c r="M42" s="403">
        <f t="shared" si="23"/>
        <v>319</v>
      </c>
      <c r="N42" s="1472" t="str">
        <f t="shared" si="24"/>
        <v>NO</v>
      </c>
      <c r="O42" s="1299"/>
    </row>
    <row r="43" spans="2:15" ht="18.75" x14ac:dyDescent="0.25">
      <c r="B43" s="1473" t="s">
        <v>287</v>
      </c>
      <c r="C43" s="407">
        <v>1929</v>
      </c>
      <c r="D43" s="398" t="s">
        <v>259</v>
      </c>
      <c r="E43" s="1300" t="s">
        <v>3</v>
      </c>
      <c r="F43" s="433" t="s">
        <v>61</v>
      </c>
      <c r="G43" s="1398">
        <v>82</v>
      </c>
      <c r="H43" s="30">
        <v>86</v>
      </c>
      <c r="I43" s="30">
        <v>85</v>
      </c>
      <c r="J43" s="30">
        <v>94</v>
      </c>
      <c r="K43" s="30">
        <v>86</v>
      </c>
      <c r="L43" s="434">
        <v>90</v>
      </c>
      <c r="M43" s="401">
        <f t="shared" si="23"/>
        <v>523</v>
      </c>
      <c r="N43" s="1302" t="str">
        <f t="shared" ref="N43" si="26">IF(M43&gt;559,"Yes","NO")</f>
        <v>NO</v>
      </c>
      <c r="O43" s="764"/>
    </row>
    <row r="44" spans="2:15" ht="18.75" x14ac:dyDescent="0.25">
      <c r="B44" s="1102" t="s">
        <v>286</v>
      </c>
      <c r="C44" s="1474">
        <v>2507</v>
      </c>
      <c r="D44" s="761" t="s">
        <v>259</v>
      </c>
      <c r="E44" s="1039" t="s">
        <v>3</v>
      </c>
      <c r="F44" s="370" t="s">
        <v>61</v>
      </c>
      <c r="G44" s="114">
        <v>81</v>
      </c>
      <c r="H44" s="49">
        <v>85</v>
      </c>
      <c r="I44" s="49">
        <v>86</v>
      </c>
      <c r="J44" s="49">
        <v>83</v>
      </c>
      <c r="K44" s="49">
        <v>89</v>
      </c>
      <c r="L44" s="259">
        <v>89</v>
      </c>
      <c r="M44" s="403">
        <f t="shared" si="23"/>
        <v>513</v>
      </c>
      <c r="N44" s="1303" t="str">
        <f t="shared" ref="N44:N45" si="27">IF(M44&gt;559,"Yes","NO")</f>
        <v>NO</v>
      </c>
      <c r="O44" s="764"/>
    </row>
    <row r="45" spans="2:15" ht="18.75" x14ac:dyDescent="0.25">
      <c r="B45" s="1102" t="s">
        <v>285</v>
      </c>
      <c r="C45" s="1474">
        <v>1927</v>
      </c>
      <c r="D45" s="761" t="s">
        <v>259</v>
      </c>
      <c r="E45" s="1039" t="s">
        <v>5</v>
      </c>
      <c r="F45" s="370" t="s">
        <v>61</v>
      </c>
      <c r="G45" s="114">
        <v>69</v>
      </c>
      <c r="H45" s="49">
        <v>70</v>
      </c>
      <c r="I45" s="49">
        <v>75</v>
      </c>
      <c r="J45" s="49">
        <v>62</v>
      </c>
      <c r="K45" s="49">
        <v>71</v>
      </c>
      <c r="L45" s="259">
        <v>71</v>
      </c>
      <c r="M45" s="403">
        <f t="shared" si="23"/>
        <v>418</v>
      </c>
      <c r="N45" s="1303" t="str">
        <f t="shared" si="27"/>
        <v>NO</v>
      </c>
      <c r="O45" s="764"/>
    </row>
    <row r="46" spans="2:15" ht="19.5" thickBot="1" x14ac:dyDescent="0.3">
      <c r="B46" s="358" t="s">
        <v>258</v>
      </c>
      <c r="C46" s="1475">
        <v>2513</v>
      </c>
      <c r="D46" s="1304" t="s">
        <v>259</v>
      </c>
      <c r="E46" s="1305" t="s">
        <v>5</v>
      </c>
      <c r="F46" s="437" t="s">
        <v>11</v>
      </c>
      <c r="G46" s="438">
        <v>74</v>
      </c>
      <c r="H46" s="58">
        <v>63</v>
      </c>
      <c r="I46" s="58">
        <v>72</v>
      </c>
      <c r="J46" s="58">
        <v>64</v>
      </c>
      <c r="K46" s="58">
        <v>92</v>
      </c>
      <c r="L46" s="439">
        <v>0</v>
      </c>
      <c r="M46" s="406">
        <f t="shared" si="23"/>
        <v>365</v>
      </c>
      <c r="N46" s="1306" t="str">
        <f t="shared" ref="N46" si="28">IF(M46&gt;559,"Yes","NO")</f>
        <v>NO</v>
      </c>
      <c r="O46" s="764" t="str">
        <f t="shared" ref="O46" si="29">IF(N46="Yes","M","")</f>
        <v/>
      </c>
    </row>
    <row r="47" spans="2:15" ht="19.5" thickBot="1" x14ac:dyDescent="0.3">
      <c r="B47" s="429" t="s">
        <v>78</v>
      </c>
      <c r="C47" s="1683" t="s">
        <v>138</v>
      </c>
      <c r="D47" s="1684"/>
      <c r="E47" s="1684"/>
      <c r="F47" s="1684"/>
      <c r="G47" s="1684"/>
      <c r="H47" s="1684"/>
      <c r="I47" s="1684"/>
      <c r="J47" s="1684"/>
      <c r="K47" s="1684"/>
      <c r="L47" s="1684"/>
      <c r="M47" s="1685"/>
      <c r="N47" s="442"/>
      <c r="O47" s="3"/>
    </row>
    <row r="48" spans="2:15" ht="19.5" thickBot="1" x14ac:dyDescent="0.3">
      <c r="B48" s="5"/>
      <c r="C48" s="445"/>
      <c r="D48" s="445"/>
      <c r="E48" s="446"/>
      <c r="F48" s="3">
        <f>COUNTA(F40:F46)</f>
        <v>7</v>
      </c>
      <c r="G48" s="3"/>
      <c r="H48" s="3"/>
      <c r="I48" s="3"/>
      <c r="J48" s="3"/>
      <c r="K48" s="3"/>
      <c r="L48" s="3"/>
      <c r="M48" s="3"/>
      <c r="N48" s="3"/>
      <c r="O48" s="3"/>
    </row>
    <row r="49" spans="2:14" ht="21" thickBot="1" x14ac:dyDescent="0.3">
      <c r="B49" s="1667" t="s">
        <v>261</v>
      </c>
      <c r="C49" s="1668"/>
      <c r="D49" s="1668"/>
      <c r="E49" s="1668"/>
      <c r="F49" s="1668"/>
      <c r="G49" s="1668"/>
      <c r="H49" s="1668"/>
      <c r="I49" s="1668"/>
      <c r="J49" s="1668"/>
      <c r="K49" s="1668"/>
      <c r="L49" s="1365"/>
      <c r="M49" s="1366"/>
      <c r="N49" s="1367"/>
    </row>
    <row r="50" spans="2:14" ht="26.25" thickBot="1" x14ac:dyDescent="0.3">
      <c r="B50" s="1360" t="s">
        <v>18</v>
      </c>
      <c r="C50" s="1350" t="s">
        <v>17</v>
      </c>
      <c r="D50" s="1351" t="s">
        <v>112</v>
      </c>
      <c r="E50" s="1352" t="s">
        <v>19</v>
      </c>
      <c r="F50" s="1361" t="s">
        <v>113</v>
      </c>
      <c r="G50" s="1362" t="s">
        <v>114</v>
      </c>
      <c r="H50" s="1362" t="s">
        <v>129</v>
      </c>
      <c r="I50" s="1362" t="s">
        <v>130</v>
      </c>
      <c r="J50" s="1362" t="s">
        <v>131</v>
      </c>
      <c r="K50" s="1362" t="s">
        <v>132</v>
      </c>
      <c r="L50" s="1035" t="s">
        <v>22</v>
      </c>
      <c r="M50" s="1363" t="s">
        <v>120</v>
      </c>
      <c r="N50" s="1364" t="s">
        <v>121</v>
      </c>
    </row>
    <row r="51" spans="2:14" ht="18.75" x14ac:dyDescent="0.25">
      <c r="B51" s="443" t="s">
        <v>254</v>
      </c>
      <c r="C51" s="598">
        <v>1310</v>
      </c>
      <c r="D51" s="345" t="s">
        <v>9</v>
      </c>
      <c r="E51" s="597" t="s">
        <v>11</v>
      </c>
      <c r="F51" s="1070">
        <v>119</v>
      </c>
      <c r="G51" s="30">
        <v>118</v>
      </c>
      <c r="H51" s="30">
        <v>115</v>
      </c>
      <c r="I51" s="30">
        <v>116</v>
      </c>
      <c r="J51" s="30">
        <v>118</v>
      </c>
      <c r="K51" s="434"/>
      <c r="L51" s="397">
        <f>SUM(F51:K51)</f>
        <v>586</v>
      </c>
      <c r="M51" s="1037" t="str">
        <f t="shared" ref="M51:M53" si="30">IF(L51&gt;559,"Yes","NO")</f>
        <v>Yes</v>
      </c>
      <c r="N51" s="423" t="str">
        <f>IF(M51="Yes","M","")</f>
        <v>M</v>
      </c>
    </row>
    <row r="52" spans="2:14" ht="18.75" x14ac:dyDescent="0.25">
      <c r="B52" s="898" t="s">
        <v>198</v>
      </c>
      <c r="C52" s="714">
        <v>2039</v>
      </c>
      <c r="D52" s="1034" t="s">
        <v>9</v>
      </c>
      <c r="E52" s="716" t="s">
        <v>11</v>
      </c>
      <c r="F52" s="1071">
        <v>110</v>
      </c>
      <c r="G52" s="66">
        <v>108</v>
      </c>
      <c r="H52" s="66">
        <v>114</v>
      </c>
      <c r="I52" s="66">
        <v>113</v>
      </c>
      <c r="J52" s="66">
        <v>112</v>
      </c>
      <c r="K52" s="707"/>
      <c r="L52" s="403">
        <f>SUM(F52:K52)</f>
        <v>557</v>
      </c>
      <c r="M52" s="1037" t="str">
        <f t="shared" si="30"/>
        <v>NO</v>
      </c>
      <c r="N52" s="1036"/>
    </row>
    <row r="53" spans="2:14" ht="19.5" thickBot="1" x14ac:dyDescent="0.3">
      <c r="B53" s="444" t="s">
        <v>255</v>
      </c>
      <c r="C53" s="436">
        <v>2038</v>
      </c>
      <c r="D53" s="421" t="s">
        <v>9</v>
      </c>
      <c r="E53" s="437" t="s">
        <v>11</v>
      </c>
      <c r="F53" s="438">
        <v>86</v>
      </c>
      <c r="G53" s="58">
        <v>89</v>
      </c>
      <c r="H53" s="58">
        <v>92</v>
      </c>
      <c r="I53" s="58">
        <v>86</v>
      </c>
      <c r="J53" s="58">
        <v>88</v>
      </c>
      <c r="K53" s="439"/>
      <c r="L53" s="406">
        <f t="shared" ref="L53" si="31">SUM(F53:K53)</f>
        <v>441</v>
      </c>
      <c r="M53" s="708" t="str">
        <f t="shared" si="30"/>
        <v>NO</v>
      </c>
      <c r="N53" s="704" t="str">
        <f>IF(M53="Yes","M","")</f>
        <v/>
      </c>
    </row>
    <row r="54" spans="2:14" ht="16.5" thickBot="1" x14ac:dyDescent="0.3">
      <c r="B54" s="1069" t="s">
        <v>78</v>
      </c>
      <c r="C54" s="1680" t="s">
        <v>134</v>
      </c>
      <c r="D54" s="1681"/>
      <c r="E54" s="1681"/>
      <c r="F54" s="1681"/>
      <c r="G54" s="1681"/>
      <c r="H54" s="1681"/>
      <c r="I54" s="1681"/>
      <c r="J54" s="1681"/>
      <c r="K54" s="1682"/>
      <c r="L54" s="440">
        <f>COUNTA(C53:C53)</f>
        <v>1</v>
      </c>
      <c r="N54" s="441"/>
    </row>
  </sheetData>
  <sortState ref="B9:L12">
    <sortCondition descending="1" ref="L8"/>
  </sortState>
  <mergeCells count="9">
    <mergeCell ref="B49:K49"/>
    <mergeCell ref="C54:K54"/>
    <mergeCell ref="B2:T2"/>
    <mergeCell ref="C36:K36"/>
    <mergeCell ref="B38:L38"/>
    <mergeCell ref="C47:M47"/>
    <mergeCell ref="B4:N4"/>
    <mergeCell ref="C25:M25"/>
    <mergeCell ref="B27:K27"/>
  </mergeCells>
  <hyperlinks>
    <hyperlink ref="L36" r:id="rId1" display="=@counta(C6:C18)"/>
    <hyperlink ref="L54" r:id="rId2" display="=@counta(C6:C18)"/>
  </hyperlinks>
  <pageMargins left="0.19685039370078741" right="0.19685039370078741" top="0.19685039370078741" bottom="0.19685039370078741" header="0.31496062992125984" footer="0.31496062992125984"/>
  <pageSetup paperSize="9" fitToHeight="0" orientation="landscape" r:id="rId3"/>
  <rowBreaks count="1" manualBreakCount="1">
    <brk id="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workbookViewId="0">
      <selection activeCell="Z32" sqref="Z32"/>
    </sheetView>
  </sheetViews>
  <sheetFormatPr defaultRowHeight="15" x14ac:dyDescent="0.25"/>
  <cols>
    <col min="1" max="1" width="27.85546875" customWidth="1"/>
    <col min="10" max="10" width="10.5703125" customWidth="1"/>
    <col min="11" max="11" width="1" customWidth="1"/>
    <col min="12" max="12" width="0.140625" customWidth="1"/>
    <col min="13" max="15" width="9.140625" hidden="1" customWidth="1"/>
    <col min="16" max="16" width="0.7109375" customWidth="1"/>
    <col min="17" max="18" width="9.140625" hidden="1" customWidth="1"/>
    <col min="19" max="19" width="1.42578125" customWidth="1"/>
  </cols>
  <sheetData>
    <row r="1" spans="1:19" ht="19.5" thickBot="1" x14ac:dyDescent="0.3">
      <c r="A1" s="1689" t="s">
        <v>206</v>
      </c>
      <c r="B1" s="1690"/>
      <c r="C1" s="1690"/>
      <c r="D1" s="1690"/>
      <c r="E1" s="1690"/>
      <c r="F1" s="1690"/>
      <c r="G1" s="1690"/>
      <c r="H1" s="1690"/>
      <c r="I1" s="1690"/>
      <c r="J1" s="1690"/>
      <c r="K1" s="1690"/>
      <c r="L1" s="1690"/>
      <c r="M1" s="1690"/>
      <c r="N1" s="1690"/>
      <c r="O1" s="1690"/>
      <c r="P1" s="1690"/>
      <c r="Q1" s="1690"/>
      <c r="R1" s="1690"/>
      <c r="S1" s="1691"/>
    </row>
    <row r="2" spans="1:19" ht="15.75" thickBot="1" x14ac:dyDescent="0.3"/>
    <row r="3" spans="1:19" ht="21" thickBot="1" x14ac:dyDescent="0.3">
      <c r="A3" s="1667" t="s">
        <v>192</v>
      </c>
      <c r="B3" s="1668"/>
      <c r="C3" s="1668"/>
      <c r="D3" s="1668"/>
      <c r="E3" s="1668"/>
      <c r="F3" s="1668"/>
      <c r="G3" s="1668"/>
      <c r="H3" s="1668"/>
      <c r="I3" s="1669"/>
      <c r="J3" s="447"/>
    </row>
    <row r="4" spans="1:19" ht="19.5" thickBot="1" x14ac:dyDescent="0.3">
      <c r="A4" s="415" t="s">
        <v>18</v>
      </c>
      <c r="B4" s="386" t="s">
        <v>17</v>
      </c>
      <c r="C4" s="387" t="s">
        <v>112</v>
      </c>
      <c r="D4" s="388" t="s">
        <v>19</v>
      </c>
      <c r="E4" s="479" t="s">
        <v>113</v>
      </c>
      <c r="F4" s="470" t="s">
        <v>114</v>
      </c>
      <c r="G4" s="514" t="s">
        <v>129</v>
      </c>
      <c r="H4" s="514" t="s">
        <v>130</v>
      </c>
      <c r="I4" s="448" t="s">
        <v>22</v>
      </c>
      <c r="J4" s="449"/>
      <c r="K4" s="450"/>
    </row>
    <row r="5" spans="1:19" ht="18.75" x14ac:dyDescent="0.25">
      <c r="A5" s="451" t="s">
        <v>122</v>
      </c>
      <c r="B5" s="452">
        <v>1383</v>
      </c>
      <c r="C5" s="453" t="s">
        <v>9</v>
      </c>
      <c r="D5" s="391" t="s">
        <v>12</v>
      </c>
      <c r="E5" s="41">
        <v>168</v>
      </c>
      <c r="F5" s="41">
        <v>172</v>
      </c>
      <c r="G5" s="41">
        <v>172</v>
      </c>
      <c r="H5" s="41"/>
      <c r="I5" s="513">
        <f t="shared" ref="I5:I10" si="0">SUM($E5:$H5)</f>
        <v>512</v>
      </c>
      <c r="J5" s="3"/>
      <c r="K5" s="5"/>
    </row>
    <row r="6" spans="1:19" ht="18.75" x14ac:dyDescent="0.25">
      <c r="A6" s="451" t="s">
        <v>54</v>
      </c>
      <c r="B6" s="452">
        <v>2</v>
      </c>
      <c r="C6" s="453" t="s">
        <v>9</v>
      </c>
      <c r="D6" s="391" t="s">
        <v>7</v>
      </c>
      <c r="E6" s="41">
        <v>167</v>
      </c>
      <c r="F6" s="41">
        <v>171</v>
      </c>
      <c r="G6" s="41">
        <v>160</v>
      </c>
      <c r="H6" s="41"/>
      <c r="I6" s="454">
        <f t="shared" si="0"/>
        <v>498</v>
      </c>
      <c r="J6" s="3"/>
      <c r="K6" s="5"/>
    </row>
    <row r="7" spans="1:19" ht="18.75" x14ac:dyDescent="0.25">
      <c r="A7" s="451" t="s">
        <v>170</v>
      </c>
      <c r="B7" s="452">
        <v>169</v>
      </c>
      <c r="C7" s="453" t="s">
        <v>9</v>
      </c>
      <c r="D7" s="391" t="s">
        <v>7</v>
      </c>
      <c r="E7" s="41">
        <v>144</v>
      </c>
      <c r="F7" s="41">
        <v>152</v>
      </c>
      <c r="G7" s="41">
        <v>151</v>
      </c>
      <c r="H7" s="41"/>
      <c r="I7" s="454">
        <f t="shared" si="0"/>
        <v>447</v>
      </c>
      <c r="J7" s="3"/>
      <c r="K7" s="5"/>
    </row>
    <row r="8" spans="1:19" ht="18.75" x14ac:dyDescent="0.25">
      <c r="A8" s="409" t="s">
        <v>84</v>
      </c>
      <c r="B8" s="455">
        <v>1723</v>
      </c>
      <c r="C8" s="459" t="s">
        <v>9</v>
      </c>
      <c r="D8" s="460" t="s">
        <v>12</v>
      </c>
      <c r="E8" s="75">
        <v>119</v>
      </c>
      <c r="F8" s="75">
        <v>136</v>
      </c>
      <c r="G8" s="75">
        <v>147</v>
      </c>
      <c r="H8" s="75"/>
      <c r="I8" s="454">
        <f t="shared" si="0"/>
        <v>402</v>
      </c>
      <c r="J8" s="3"/>
      <c r="K8" s="5"/>
    </row>
    <row r="9" spans="1:19" ht="18.75" x14ac:dyDescent="0.25">
      <c r="A9" s="409" t="s">
        <v>102</v>
      </c>
      <c r="B9" s="455">
        <v>1577</v>
      </c>
      <c r="C9" s="456" t="s">
        <v>9</v>
      </c>
      <c r="D9" s="458" t="s">
        <v>7</v>
      </c>
      <c r="E9" s="49">
        <v>112</v>
      </c>
      <c r="F9" s="49">
        <v>117</v>
      </c>
      <c r="G9" s="49">
        <v>122</v>
      </c>
      <c r="H9" s="49"/>
      <c r="I9" s="454">
        <f t="shared" si="0"/>
        <v>351</v>
      </c>
      <c r="J9" s="14"/>
      <c r="K9" s="457"/>
    </row>
    <row r="10" spans="1:19" ht="19.5" thickBot="1" x14ac:dyDescent="0.3">
      <c r="A10" s="409" t="s">
        <v>76</v>
      </c>
      <c r="B10" s="455">
        <v>1580</v>
      </c>
      <c r="C10" s="456" t="s">
        <v>9</v>
      </c>
      <c r="D10" s="458" t="s">
        <v>12</v>
      </c>
      <c r="E10" s="49">
        <v>124</v>
      </c>
      <c r="F10" s="49">
        <v>117</v>
      </c>
      <c r="G10" s="49">
        <v>101</v>
      </c>
      <c r="H10" s="49"/>
      <c r="I10" s="454">
        <f t="shared" si="0"/>
        <v>342</v>
      </c>
      <c r="J10" s="13"/>
      <c r="K10" s="457"/>
    </row>
    <row r="11" spans="1:19" ht="18.75" hidden="1" x14ac:dyDescent="0.25">
      <c r="A11" s="409" t="s">
        <v>123</v>
      </c>
      <c r="B11" s="455">
        <v>1281</v>
      </c>
      <c r="C11" s="456" t="s">
        <v>9</v>
      </c>
      <c r="D11" s="392" t="s">
        <v>7</v>
      </c>
      <c r="E11" s="49"/>
      <c r="F11" s="49"/>
      <c r="G11" s="49"/>
      <c r="H11" s="49"/>
      <c r="I11" s="454">
        <f t="shared" ref="I11:I14" si="1">SUM($E11:$H11)</f>
        <v>0</v>
      </c>
      <c r="J11" s="461"/>
      <c r="K11" s="462"/>
    </row>
    <row r="12" spans="1:19" ht="18.75" hidden="1" x14ac:dyDescent="0.25">
      <c r="A12" s="409" t="s">
        <v>55</v>
      </c>
      <c r="B12" s="455">
        <v>309</v>
      </c>
      <c r="C12" s="456" t="s">
        <v>9</v>
      </c>
      <c r="D12" s="392" t="s">
        <v>10</v>
      </c>
      <c r="E12" s="49"/>
      <c r="F12" s="49"/>
      <c r="G12" s="49"/>
      <c r="H12" s="49"/>
      <c r="I12" s="454">
        <f t="shared" si="1"/>
        <v>0</v>
      </c>
      <c r="J12" s="13"/>
      <c r="K12" s="457"/>
    </row>
    <row r="13" spans="1:19" ht="18.75" hidden="1" x14ac:dyDescent="0.25">
      <c r="A13" s="515" t="s">
        <v>124</v>
      </c>
      <c r="B13" s="532">
        <v>283</v>
      </c>
      <c r="C13" s="533" t="s">
        <v>9</v>
      </c>
      <c r="D13" s="779" t="s">
        <v>2</v>
      </c>
      <c r="E13" s="102"/>
      <c r="F13" s="102"/>
      <c r="G13" s="102"/>
      <c r="H13" s="102"/>
      <c r="I13" s="534">
        <f t="shared" si="1"/>
        <v>0</v>
      </c>
      <c r="J13" s="13"/>
      <c r="K13" s="457"/>
    </row>
    <row r="14" spans="1:19" ht="19.5" hidden="1" thickBot="1" x14ac:dyDescent="0.3">
      <c r="A14" s="515" t="s">
        <v>126</v>
      </c>
      <c r="B14" s="532">
        <v>3608</v>
      </c>
      <c r="C14" s="552" t="s">
        <v>9</v>
      </c>
      <c r="D14" s="553" t="s">
        <v>2</v>
      </c>
      <c r="E14" s="503"/>
      <c r="F14" s="503"/>
      <c r="G14" s="503"/>
      <c r="H14" s="503"/>
      <c r="I14" s="534">
        <f t="shared" si="1"/>
        <v>0</v>
      </c>
      <c r="J14" s="13"/>
      <c r="K14" s="457"/>
    </row>
    <row r="15" spans="1:19" ht="19.5" thickBot="1" x14ac:dyDescent="0.3">
      <c r="A15" s="531" t="s">
        <v>139</v>
      </c>
      <c r="B15" s="1686" t="s">
        <v>140</v>
      </c>
      <c r="C15" s="1687"/>
      <c r="D15" s="1687"/>
      <c r="E15" s="1687"/>
      <c r="F15" s="1687"/>
      <c r="G15" s="1687"/>
      <c r="H15" s="1687"/>
      <c r="I15" s="1688"/>
      <c r="J15" s="535"/>
      <c r="K15" s="535"/>
    </row>
    <row r="17" spans="1:12" ht="15.75" thickBot="1" x14ac:dyDescent="0.3"/>
    <row r="18" spans="1:12" ht="21" thickBot="1" x14ac:dyDescent="0.3">
      <c r="A18" s="1667" t="s">
        <v>161</v>
      </c>
      <c r="B18" s="1668"/>
      <c r="C18" s="1668"/>
      <c r="D18" s="1668"/>
      <c r="E18" s="1668"/>
      <c r="F18" s="1668"/>
      <c r="G18" s="1668"/>
      <c r="H18" s="1668"/>
      <c r="I18" s="1668"/>
      <c r="J18" s="394"/>
    </row>
    <row r="19" spans="1:12" ht="26.25" thickBot="1" x14ac:dyDescent="0.3">
      <c r="A19" s="395" t="s">
        <v>18</v>
      </c>
      <c r="B19" s="396" t="s">
        <v>17</v>
      </c>
      <c r="C19" s="328" t="s">
        <v>112</v>
      </c>
      <c r="D19" s="329" t="s">
        <v>19</v>
      </c>
      <c r="E19" s="321" t="s">
        <v>141</v>
      </c>
      <c r="F19" s="95" t="s">
        <v>142</v>
      </c>
      <c r="G19" s="89" t="s">
        <v>115</v>
      </c>
      <c r="H19" s="397" t="s">
        <v>22</v>
      </c>
      <c r="I19" s="463" t="s">
        <v>120</v>
      </c>
      <c r="J19" s="386" t="s">
        <v>143</v>
      </c>
    </row>
    <row r="20" spans="1:12" s="1" customFormat="1" ht="18.75" x14ac:dyDescent="0.25">
      <c r="A20" s="782" t="s">
        <v>122</v>
      </c>
      <c r="B20" s="1138">
        <v>1383</v>
      </c>
      <c r="C20" s="783" t="s">
        <v>3</v>
      </c>
      <c r="D20" s="897" t="s">
        <v>12</v>
      </c>
      <c r="E20" s="1139">
        <v>139</v>
      </c>
      <c r="F20" s="1140">
        <v>135</v>
      </c>
      <c r="G20" s="1141"/>
      <c r="H20" s="401">
        <f>SUM(E20:G20)</f>
        <v>274</v>
      </c>
      <c r="I20" s="694"/>
      <c r="J20" s="709"/>
    </row>
    <row r="21" spans="1:12" s="1" customFormat="1" ht="19.5" thickBot="1" x14ac:dyDescent="0.3">
      <c r="A21" s="471" t="s">
        <v>62</v>
      </c>
      <c r="B21" s="472">
        <v>1809</v>
      </c>
      <c r="C21" s="371" t="s">
        <v>3</v>
      </c>
      <c r="D21" s="404" t="s">
        <v>8</v>
      </c>
      <c r="E21" s="502">
        <v>133</v>
      </c>
      <c r="F21" s="503">
        <v>130</v>
      </c>
      <c r="G21" s="504"/>
      <c r="H21" s="403">
        <f>SUM(E21:G21)</f>
        <v>263</v>
      </c>
      <c r="I21" s="710"/>
      <c r="J21" s="516"/>
    </row>
    <row r="22" spans="1:12" ht="18.75" x14ac:dyDescent="0.25">
      <c r="A22" s="566" t="s">
        <v>175</v>
      </c>
      <c r="B22" s="784">
        <v>2218</v>
      </c>
      <c r="C22" s="1038" t="s">
        <v>4</v>
      </c>
      <c r="D22" s="897" t="s">
        <v>7</v>
      </c>
      <c r="E22" s="850">
        <v>128</v>
      </c>
      <c r="F22" s="97">
        <v>122</v>
      </c>
      <c r="G22" s="427"/>
      <c r="H22" s="252">
        <f>SUM(E22:G22)</f>
        <v>250</v>
      </c>
      <c r="I22" s="26" t="str">
        <f t="shared" ref="I22" si="2">IF(H22&gt;279,"Yes","NO")</f>
        <v>NO</v>
      </c>
      <c r="J22" s="712" t="str">
        <f t="shared" ref="J22" si="3">IF(I22="Yes","M","")</f>
        <v/>
      </c>
    </row>
    <row r="23" spans="1:12" ht="18.75" x14ac:dyDescent="0.25">
      <c r="A23" s="409" t="s">
        <v>232</v>
      </c>
      <c r="B23" s="465">
        <v>506</v>
      </c>
      <c r="C23" s="466" t="s">
        <v>4</v>
      </c>
      <c r="D23" s="332" t="s">
        <v>8</v>
      </c>
      <c r="E23" s="114">
        <v>121</v>
      </c>
      <c r="F23" s="49">
        <v>117</v>
      </c>
      <c r="G23" s="163"/>
      <c r="H23" s="711">
        <f>SUM(E23:G23)</f>
        <v>238</v>
      </c>
      <c r="I23" s="45" t="str">
        <f t="shared" ref="I23" si="4">IF(H23&gt;279,"Yes","NO")</f>
        <v>NO</v>
      </c>
      <c r="J23" s="69" t="str">
        <f t="shared" ref="J23" si="5">IF(I23="Yes","M","")</f>
        <v/>
      </c>
    </row>
    <row r="24" spans="1:12" ht="19.5" thickBot="1" x14ac:dyDescent="0.3">
      <c r="A24" s="409" t="s">
        <v>170</v>
      </c>
      <c r="B24" s="465">
        <v>169</v>
      </c>
      <c r="C24" s="466" t="s">
        <v>4</v>
      </c>
      <c r="D24" s="332" t="s">
        <v>7</v>
      </c>
      <c r="E24" s="114">
        <v>79</v>
      </c>
      <c r="F24" s="49">
        <v>127</v>
      </c>
      <c r="G24" s="163"/>
      <c r="H24" s="711">
        <f>SUM(E24:G24)</f>
        <v>206</v>
      </c>
      <c r="I24" s="45" t="str">
        <f t="shared" ref="I24" si="6">IF(H24&gt;279,"Yes","NO")</f>
        <v>NO</v>
      </c>
      <c r="J24" s="69"/>
    </row>
    <row r="25" spans="1:12" ht="18.75" x14ac:dyDescent="0.3">
      <c r="A25" s="505" t="s">
        <v>56</v>
      </c>
      <c r="B25" s="483">
        <v>641</v>
      </c>
      <c r="C25" s="788" t="s">
        <v>6</v>
      </c>
      <c r="D25" s="484" t="s">
        <v>12</v>
      </c>
      <c r="E25" s="399">
        <v>119</v>
      </c>
      <c r="F25" s="30">
        <v>128</v>
      </c>
      <c r="G25" s="722"/>
      <c r="H25" s="762">
        <f t="shared" ref="H25:H26" si="7">SUM(E25:G25)</f>
        <v>247</v>
      </c>
      <c r="I25" s="26" t="str">
        <f t="shared" ref="I25" si="8">IF(H25&gt;259,"Yes","NO")</f>
        <v>NO</v>
      </c>
      <c r="J25" s="712"/>
      <c r="K25" s="473"/>
      <c r="L25" s="473"/>
    </row>
    <row r="26" spans="1:12" ht="19.5" thickBot="1" x14ac:dyDescent="0.3">
      <c r="A26" s="785" t="s">
        <v>74</v>
      </c>
      <c r="B26" s="786">
        <v>723</v>
      </c>
      <c r="C26" s="787" t="s">
        <v>6</v>
      </c>
      <c r="D26" s="789" t="s">
        <v>61</v>
      </c>
      <c r="E26" s="518">
        <v>123</v>
      </c>
      <c r="F26" s="108">
        <v>108</v>
      </c>
      <c r="G26" s="519"/>
      <c r="H26" s="763">
        <f t="shared" si="7"/>
        <v>231</v>
      </c>
      <c r="I26" s="54" t="str">
        <f t="shared" ref="I26" si="9">IF(H26&gt;259,"Yes","NO")</f>
        <v>NO</v>
      </c>
      <c r="J26" s="713" t="str">
        <f t="shared" ref="J26" si="10">IF(I26="Yes","G","")</f>
        <v/>
      </c>
    </row>
    <row r="27" spans="1:12" ht="18.75" x14ac:dyDescent="0.25">
      <c r="A27" s="339" t="s">
        <v>76</v>
      </c>
      <c r="B27" s="377">
        <v>1580</v>
      </c>
      <c r="C27" s="331" t="s">
        <v>5</v>
      </c>
      <c r="D27" s="370" t="s">
        <v>61</v>
      </c>
      <c r="E27" s="114">
        <v>119</v>
      </c>
      <c r="F27" s="49">
        <v>116</v>
      </c>
      <c r="G27" s="259"/>
      <c r="H27" s="717">
        <f>SUM(E27:G27)</f>
        <v>235</v>
      </c>
      <c r="I27" s="26" t="str">
        <f>IF(H27&gt;239,"Yes","NO")</f>
        <v>NO</v>
      </c>
      <c r="J27" s="712" t="str">
        <f>IF(I27="Yes","S","")</f>
        <v/>
      </c>
    </row>
    <row r="28" spans="1:12" ht="18.75" x14ac:dyDescent="0.25">
      <c r="A28" s="339" t="s">
        <v>82</v>
      </c>
      <c r="B28" s="377">
        <v>1291</v>
      </c>
      <c r="C28" s="1142" t="s">
        <v>5</v>
      </c>
      <c r="D28" s="1143" t="s">
        <v>7</v>
      </c>
      <c r="E28" s="1101">
        <v>102</v>
      </c>
      <c r="F28" s="75">
        <v>106</v>
      </c>
      <c r="G28" s="510"/>
      <c r="H28" s="717">
        <f>SUM(E28:G28)</f>
        <v>208</v>
      </c>
      <c r="I28" s="45" t="str">
        <f t="shared" ref="I28:I30" si="11">IF(H28&gt;239,"Yes","NO")</f>
        <v>NO</v>
      </c>
      <c r="J28" s="69" t="str">
        <f t="shared" ref="J28:J30" si="12">IF(I28="Yes","S","")</f>
        <v/>
      </c>
    </row>
    <row r="29" spans="1:12" ht="18.75" x14ac:dyDescent="0.25">
      <c r="A29" s="339" t="s">
        <v>102</v>
      </c>
      <c r="B29" s="377">
        <v>1577</v>
      </c>
      <c r="C29" s="331" t="s">
        <v>5</v>
      </c>
      <c r="D29" s="370" t="s">
        <v>61</v>
      </c>
      <c r="E29" s="114">
        <v>84</v>
      </c>
      <c r="F29" s="49">
        <v>82</v>
      </c>
      <c r="G29" s="259"/>
      <c r="H29" s="717">
        <f>SUM(E29:G29)</f>
        <v>166</v>
      </c>
      <c r="I29" s="45" t="str">
        <f t="shared" si="11"/>
        <v>NO</v>
      </c>
      <c r="J29" s="69" t="str">
        <f t="shared" si="12"/>
        <v/>
      </c>
    </row>
    <row r="30" spans="1:12" ht="19.5" thickBot="1" x14ac:dyDescent="0.3">
      <c r="A30" s="379" t="s">
        <v>84</v>
      </c>
      <c r="B30" s="380">
        <v>1723</v>
      </c>
      <c r="C30" s="376" t="s">
        <v>5</v>
      </c>
      <c r="D30" s="475" t="s">
        <v>12</v>
      </c>
      <c r="E30" s="134">
        <v>56</v>
      </c>
      <c r="F30" s="41">
        <v>74</v>
      </c>
      <c r="G30" s="435"/>
      <c r="H30" s="717">
        <f>SUM(E30:G30)</f>
        <v>130</v>
      </c>
      <c r="I30" s="54" t="str">
        <f t="shared" si="11"/>
        <v>NO</v>
      </c>
      <c r="J30" s="713" t="str">
        <f t="shared" si="12"/>
        <v/>
      </c>
    </row>
    <row r="31" spans="1:12" ht="19.5" thickBot="1" x14ac:dyDescent="0.3">
      <c r="A31" s="469" t="s">
        <v>34</v>
      </c>
      <c r="B31" s="1680" t="s">
        <v>144</v>
      </c>
      <c r="C31" s="1681"/>
      <c r="D31" s="1681"/>
      <c r="E31" s="1681"/>
      <c r="F31" s="1681"/>
      <c r="G31" s="1681"/>
      <c r="H31" s="1681"/>
      <c r="I31" s="1674"/>
      <c r="J31" s="1675"/>
    </row>
  </sheetData>
  <sortState ref="A5:I11">
    <sortCondition descending="1" ref="I5"/>
  </sortState>
  <mergeCells count="5">
    <mergeCell ref="B31:J31"/>
    <mergeCell ref="A3:I3"/>
    <mergeCell ref="A18:I18"/>
    <mergeCell ref="B15:I15"/>
    <mergeCell ref="A1:S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1" manualBreakCount="1">
    <brk id="1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4"/>
  <sheetViews>
    <sheetView workbookViewId="0">
      <selection activeCell="A16" sqref="A16:L16"/>
    </sheetView>
  </sheetViews>
  <sheetFormatPr defaultRowHeight="15" x14ac:dyDescent="0.25"/>
  <cols>
    <col min="1" max="1" width="25" customWidth="1"/>
    <col min="14" max="14" width="1.5703125" customWidth="1"/>
    <col min="15" max="15" width="0.28515625" customWidth="1"/>
    <col min="16" max="16" width="0.7109375" customWidth="1"/>
    <col min="17" max="17" width="0.28515625" customWidth="1"/>
    <col min="18" max="18" width="0.140625" customWidth="1"/>
    <col min="19" max="19" width="2.28515625" customWidth="1"/>
  </cols>
  <sheetData>
    <row r="2" spans="1:19" ht="15.75" thickBot="1" x14ac:dyDescent="0.3"/>
    <row r="3" spans="1:19" ht="19.5" thickBot="1" x14ac:dyDescent="0.3">
      <c r="A3" s="1689" t="s">
        <v>206</v>
      </c>
      <c r="B3" s="1690"/>
      <c r="C3" s="1690"/>
      <c r="D3" s="1690"/>
      <c r="E3" s="1690"/>
      <c r="F3" s="1690"/>
      <c r="G3" s="1690"/>
      <c r="H3" s="1690"/>
      <c r="I3" s="1690"/>
      <c r="J3" s="1690"/>
      <c r="K3" s="1690"/>
      <c r="L3" s="1690"/>
      <c r="M3" s="1690"/>
      <c r="N3" s="1690"/>
      <c r="O3" s="1690"/>
      <c r="P3" s="1690"/>
      <c r="Q3" s="1690"/>
      <c r="R3" s="1690"/>
      <c r="S3" s="1691"/>
    </row>
    <row r="4" spans="1:19" ht="17.25" thickBot="1" x14ac:dyDescent="0.3">
      <c r="A4" s="322"/>
      <c r="B4" s="476"/>
      <c r="C4" s="477"/>
      <c r="D4" s="324"/>
      <c r="E4" s="325"/>
      <c r="F4" s="325"/>
      <c r="G4" s="325"/>
      <c r="H4" s="325"/>
      <c r="I4" s="325"/>
      <c r="J4" s="325"/>
      <c r="K4" s="325"/>
    </row>
    <row r="5" spans="1:19" ht="21" thickBot="1" x14ac:dyDescent="0.3">
      <c r="A5" s="1667" t="s">
        <v>158</v>
      </c>
      <c r="B5" s="1668"/>
      <c r="C5" s="1668"/>
      <c r="D5" s="1668"/>
      <c r="E5" s="1668"/>
      <c r="F5" s="1668"/>
      <c r="G5" s="1668"/>
      <c r="H5" s="1668"/>
      <c r="I5" s="1668"/>
      <c r="J5" s="1668"/>
      <c r="K5" s="394"/>
    </row>
    <row r="6" spans="1:19" ht="30.75" thickBot="1" x14ac:dyDescent="0.3">
      <c r="A6" s="415" t="s">
        <v>18</v>
      </c>
      <c r="B6" s="386" t="s">
        <v>17</v>
      </c>
      <c r="C6" s="478" t="s">
        <v>112</v>
      </c>
      <c r="D6" s="388" t="s">
        <v>19</v>
      </c>
      <c r="E6" s="479" t="s">
        <v>145</v>
      </c>
      <c r="F6" s="470" t="s">
        <v>146</v>
      </c>
      <c r="G6" s="480" t="s">
        <v>147</v>
      </c>
      <c r="H6" s="564" t="s">
        <v>148</v>
      </c>
      <c r="I6" s="481" t="s">
        <v>145</v>
      </c>
      <c r="J6" s="470" t="s">
        <v>146</v>
      </c>
      <c r="K6" s="480" t="s">
        <v>147</v>
      </c>
      <c r="L6" s="564" t="s">
        <v>148</v>
      </c>
      <c r="M6" s="482" t="s">
        <v>22</v>
      </c>
    </row>
    <row r="7" spans="1:19" ht="18.75" x14ac:dyDescent="0.25">
      <c r="A7" s="505" t="s">
        <v>122</v>
      </c>
      <c r="B7" s="483">
        <v>1383</v>
      </c>
      <c r="C7" s="407" t="s">
        <v>278</v>
      </c>
      <c r="D7" s="597" t="s">
        <v>12</v>
      </c>
      <c r="E7" s="1070">
        <v>95</v>
      </c>
      <c r="F7" s="30">
        <v>85</v>
      </c>
      <c r="G7" s="434">
        <v>80</v>
      </c>
      <c r="H7" s="92">
        <f>SUM($E7:$G7)</f>
        <v>260</v>
      </c>
      <c r="I7" s="872">
        <v>94</v>
      </c>
      <c r="J7" s="30">
        <v>94</v>
      </c>
      <c r="K7" s="434">
        <v>87</v>
      </c>
      <c r="L7" s="92">
        <f>SUM($I7:$K7)</f>
        <v>275</v>
      </c>
      <c r="M7" s="1098">
        <f>SUM(H7+L7)</f>
        <v>535</v>
      </c>
    </row>
    <row r="8" spans="1:19" ht="19.5" thickBot="1" x14ac:dyDescent="0.3">
      <c r="A8" s="507" t="s">
        <v>232</v>
      </c>
      <c r="B8" s="1096">
        <v>506</v>
      </c>
      <c r="C8" s="1097" t="s">
        <v>278</v>
      </c>
      <c r="D8" s="716" t="s">
        <v>8</v>
      </c>
      <c r="E8" s="1388">
        <v>91</v>
      </c>
      <c r="F8" s="66">
        <v>88</v>
      </c>
      <c r="G8" s="707">
        <v>87</v>
      </c>
      <c r="H8" s="402">
        <f>SUM($E8:$G8)</f>
        <v>266</v>
      </c>
      <c r="I8" s="1388">
        <v>93</v>
      </c>
      <c r="J8" s="66">
        <v>91</v>
      </c>
      <c r="K8" s="707">
        <v>75</v>
      </c>
      <c r="L8" s="402">
        <f>SUM($I8:$K8)</f>
        <v>259</v>
      </c>
      <c r="M8" s="1099">
        <f>SUM(H8+L8)</f>
        <v>525</v>
      </c>
    </row>
    <row r="9" spans="1:19" ht="18.75" x14ac:dyDescent="0.25">
      <c r="A9" s="505" t="s">
        <v>123</v>
      </c>
      <c r="B9" s="483">
        <v>1281</v>
      </c>
      <c r="C9" s="951" t="s">
        <v>14</v>
      </c>
      <c r="D9" s="484" t="s">
        <v>7</v>
      </c>
      <c r="E9" s="399">
        <v>92</v>
      </c>
      <c r="F9" s="30">
        <v>94</v>
      </c>
      <c r="G9" s="434">
        <v>79</v>
      </c>
      <c r="H9" s="400">
        <f t="shared" ref="H9" si="0">SUM($E9:$G9)</f>
        <v>265</v>
      </c>
      <c r="I9" s="872">
        <v>92</v>
      </c>
      <c r="J9" s="30">
        <v>92</v>
      </c>
      <c r="K9" s="434">
        <v>80</v>
      </c>
      <c r="L9" s="400">
        <f t="shared" ref="L9" si="1">SUM($I9:$K9)</f>
        <v>264</v>
      </c>
      <c r="M9" s="512">
        <f t="shared" ref="M9" si="2">SUM(H9+L9)</f>
        <v>529</v>
      </c>
    </row>
    <row r="10" spans="1:19" ht="18.75" x14ac:dyDescent="0.25">
      <c r="A10" s="451" t="s">
        <v>56</v>
      </c>
      <c r="B10" s="485">
        <v>641</v>
      </c>
      <c r="C10" s="486" t="s">
        <v>14</v>
      </c>
      <c r="D10" s="468" t="s">
        <v>12</v>
      </c>
      <c r="E10" s="118">
        <v>84</v>
      </c>
      <c r="F10" s="41">
        <v>80</v>
      </c>
      <c r="G10" s="435">
        <v>45</v>
      </c>
      <c r="H10" s="402">
        <f>SUM($E10:$G10)</f>
        <v>209</v>
      </c>
      <c r="I10" s="134">
        <v>90</v>
      </c>
      <c r="J10" s="41">
        <v>86</v>
      </c>
      <c r="K10" s="435">
        <v>66</v>
      </c>
      <c r="L10" s="402">
        <f>SUM($I10:$K10)</f>
        <v>242</v>
      </c>
      <c r="M10" s="551">
        <f>SUM(H10+L10)</f>
        <v>451</v>
      </c>
    </row>
    <row r="11" spans="1:19" ht="18.75" x14ac:dyDescent="0.25">
      <c r="A11" s="451" t="s">
        <v>233</v>
      </c>
      <c r="B11" s="485">
        <v>1291</v>
      </c>
      <c r="C11" s="486" t="s">
        <v>14</v>
      </c>
      <c r="D11" s="468" t="s">
        <v>7</v>
      </c>
      <c r="E11" s="118">
        <v>89</v>
      </c>
      <c r="F11" s="41">
        <v>84</v>
      </c>
      <c r="G11" s="435">
        <v>72</v>
      </c>
      <c r="H11" s="402">
        <f>SUM($E11:$G11)</f>
        <v>245</v>
      </c>
      <c r="I11" s="134">
        <v>86</v>
      </c>
      <c r="J11" s="41">
        <v>71</v>
      </c>
      <c r="K11" s="435">
        <v>36</v>
      </c>
      <c r="L11" s="402">
        <f>SUM($I11:$K11)</f>
        <v>193</v>
      </c>
      <c r="M11" s="551">
        <f>SUM(H11+L11)</f>
        <v>438</v>
      </c>
    </row>
    <row r="12" spans="1:19" ht="18.75" x14ac:dyDescent="0.25">
      <c r="A12" s="451" t="s">
        <v>74</v>
      </c>
      <c r="B12" s="485">
        <v>723</v>
      </c>
      <c r="C12" s="1376" t="s">
        <v>14</v>
      </c>
      <c r="D12" s="430" t="s">
        <v>12</v>
      </c>
      <c r="E12" s="118">
        <v>81</v>
      </c>
      <c r="F12" s="41">
        <v>69</v>
      </c>
      <c r="G12" s="435">
        <v>34</v>
      </c>
      <c r="H12" s="402">
        <f>SUM($E12:$G12)</f>
        <v>184</v>
      </c>
      <c r="I12" s="134">
        <v>76</v>
      </c>
      <c r="J12" s="41">
        <v>52</v>
      </c>
      <c r="K12" s="435">
        <v>39</v>
      </c>
      <c r="L12" s="402">
        <f>SUM($I12:$K12)</f>
        <v>167</v>
      </c>
      <c r="M12" s="551">
        <f>SUM(H12+L12)</f>
        <v>351</v>
      </c>
    </row>
    <row r="13" spans="1:19" ht="18.75" x14ac:dyDescent="0.25">
      <c r="A13" s="451" t="s">
        <v>64</v>
      </c>
      <c r="B13" s="485">
        <v>1577</v>
      </c>
      <c r="C13" s="486" t="s">
        <v>14</v>
      </c>
      <c r="D13" s="468" t="s">
        <v>12</v>
      </c>
      <c r="E13" s="118">
        <v>72</v>
      </c>
      <c r="F13" s="41">
        <v>64</v>
      </c>
      <c r="G13" s="435">
        <v>43</v>
      </c>
      <c r="H13" s="402">
        <f>SUM($E13:$G13)</f>
        <v>179</v>
      </c>
      <c r="I13" s="134">
        <v>73</v>
      </c>
      <c r="J13" s="41">
        <v>49</v>
      </c>
      <c r="K13" s="435">
        <v>33</v>
      </c>
      <c r="L13" s="402">
        <f>SUM($I13:$K13)</f>
        <v>155</v>
      </c>
      <c r="M13" s="551">
        <f>SUM(H13+L13)</f>
        <v>334</v>
      </c>
    </row>
    <row r="14" spans="1:19" ht="21.75" thickBot="1" x14ac:dyDescent="0.3">
      <c r="A14" s="950" t="s">
        <v>78</v>
      </c>
      <c r="B14" s="1683"/>
      <c r="C14" s="1684"/>
      <c r="D14" s="1684"/>
      <c r="E14" s="1684"/>
      <c r="F14" s="1684"/>
      <c r="G14" s="1684"/>
      <c r="H14" s="1684"/>
      <c r="I14" s="1684"/>
      <c r="J14" s="1684"/>
      <c r="K14" s="1684"/>
      <c r="L14" s="1685"/>
    </row>
    <row r="16" spans="1:19" ht="21" x14ac:dyDescent="0.25">
      <c r="A16" s="1698"/>
      <c r="B16" s="1698"/>
      <c r="C16" s="1698"/>
      <c r="D16" s="1698"/>
      <c r="E16" s="1698"/>
      <c r="F16" s="1698"/>
      <c r="G16" s="1698"/>
      <c r="H16" s="1698"/>
      <c r="I16" s="1698"/>
      <c r="J16" s="1698"/>
      <c r="K16" s="1698"/>
      <c r="L16" s="1698"/>
      <c r="M16" s="790"/>
      <c r="N16" s="1696"/>
      <c r="O16" s="1696"/>
      <c r="P16" s="791"/>
    </row>
    <row r="17" spans="1:16" ht="35.25" customHeight="1" x14ac:dyDescent="0.25">
      <c r="A17" s="1692"/>
      <c r="B17" s="1692"/>
      <c r="C17" s="1692"/>
      <c r="D17" s="1692"/>
      <c r="E17" s="1693"/>
      <c r="F17" s="1693"/>
      <c r="G17" s="1693"/>
      <c r="H17" s="1693"/>
      <c r="I17" s="1693"/>
      <c r="J17" s="1693"/>
      <c r="K17" s="1693"/>
      <c r="L17" s="1693"/>
      <c r="M17" s="1693"/>
      <c r="N17" s="1694"/>
      <c r="O17" s="1694"/>
      <c r="P17" s="791"/>
    </row>
    <row r="18" spans="1:16" ht="18" x14ac:dyDescent="0.25">
      <c r="A18" s="792"/>
      <c r="B18" s="793"/>
      <c r="C18" s="794"/>
      <c r="D18" s="795"/>
      <c r="E18" s="796"/>
      <c r="F18" s="796"/>
      <c r="G18" s="795"/>
      <c r="H18" s="796"/>
      <c r="I18" s="796"/>
      <c r="J18" s="795"/>
      <c r="K18" s="796"/>
      <c r="L18" s="796"/>
      <c r="M18" s="795"/>
      <c r="N18" s="1697"/>
      <c r="O18" s="1697"/>
      <c r="P18" s="791"/>
    </row>
    <row r="19" spans="1:16" ht="18.75" x14ac:dyDescent="0.25">
      <c r="A19" s="797"/>
      <c r="B19" s="798"/>
      <c r="C19" s="758"/>
      <c r="D19" s="799"/>
      <c r="E19" s="759"/>
      <c r="F19" s="759"/>
      <c r="G19" s="800"/>
      <c r="H19" s="759"/>
      <c r="I19" s="759"/>
      <c r="J19" s="800"/>
      <c r="K19" s="759"/>
      <c r="L19" s="759"/>
      <c r="M19" s="800"/>
      <c r="N19" s="801"/>
      <c r="O19" s="802"/>
      <c r="P19" s="791"/>
    </row>
    <row r="20" spans="1:16" ht="18.75" x14ac:dyDescent="0.25">
      <c r="A20" s="797"/>
      <c r="B20" s="798"/>
      <c r="C20" s="758"/>
      <c r="D20" s="799"/>
      <c r="E20" s="759"/>
      <c r="F20" s="759"/>
      <c r="G20" s="800"/>
      <c r="H20" s="759"/>
      <c r="I20" s="759"/>
      <c r="J20" s="800"/>
      <c r="K20" s="759"/>
      <c r="L20" s="759"/>
      <c r="M20" s="800"/>
      <c r="N20" s="801"/>
      <c r="O20" s="802"/>
      <c r="P20" s="791"/>
    </row>
    <row r="21" spans="1:16" ht="18.75" x14ac:dyDescent="0.25">
      <c r="A21" s="797"/>
      <c r="B21" s="798"/>
      <c r="C21" s="803"/>
      <c r="D21" s="799"/>
      <c r="E21" s="759"/>
      <c r="F21" s="759"/>
      <c r="G21" s="800"/>
      <c r="H21" s="759"/>
      <c r="I21" s="759"/>
      <c r="J21" s="800"/>
      <c r="K21" s="759"/>
      <c r="L21" s="759"/>
      <c r="M21" s="800"/>
      <c r="N21" s="801"/>
      <c r="O21" s="802"/>
      <c r="P21" s="791"/>
    </row>
    <row r="22" spans="1:16" ht="18.75" x14ac:dyDescent="0.25">
      <c r="A22" s="797"/>
      <c r="B22" s="798"/>
      <c r="C22" s="758"/>
      <c r="D22" s="799"/>
      <c r="E22" s="759"/>
      <c r="F22" s="759"/>
      <c r="G22" s="800"/>
      <c r="H22" s="759"/>
      <c r="I22" s="759"/>
      <c r="J22" s="800"/>
      <c r="K22" s="759"/>
      <c r="L22" s="759"/>
      <c r="M22" s="800"/>
      <c r="N22" s="801"/>
      <c r="O22" s="802"/>
      <c r="P22" s="791"/>
    </row>
    <row r="23" spans="1:16" ht="18.75" x14ac:dyDescent="0.25">
      <c r="A23" s="797"/>
      <c r="B23" s="798"/>
      <c r="C23" s="803"/>
      <c r="D23" s="799"/>
      <c r="E23" s="759"/>
      <c r="F23" s="759"/>
      <c r="G23" s="800"/>
      <c r="H23" s="759"/>
      <c r="I23" s="759"/>
      <c r="J23" s="800"/>
      <c r="K23" s="759"/>
      <c r="L23" s="759"/>
      <c r="M23" s="800"/>
      <c r="N23" s="801"/>
      <c r="O23" s="802"/>
      <c r="P23" s="791"/>
    </row>
    <row r="24" spans="1:16" ht="18.75" x14ac:dyDescent="0.25">
      <c r="A24" s="797"/>
      <c r="B24" s="798"/>
      <c r="C24" s="803"/>
      <c r="D24" s="799"/>
      <c r="E24" s="759"/>
      <c r="F24" s="759"/>
      <c r="G24" s="800"/>
      <c r="H24" s="759"/>
      <c r="I24" s="759"/>
      <c r="J24" s="800"/>
      <c r="K24" s="759"/>
      <c r="L24" s="759"/>
      <c r="M24" s="800"/>
      <c r="N24" s="801"/>
      <c r="O24" s="802"/>
      <c r="P24" s="791"/>
    </row>
    <row r="25" spans="1:16" ht="18.75" x14ac:dyDescent="0.25">
      <c r="A25" s="797"/>
      <c r="B25" s="798"/>
      <c r="C25" s="803"/>
      <c r="D25" s="799"/>
      <c r="E25" s="759"/>
      <c r="F25" s="759"/>
      <c r="G25" s="800"/>
      <c r="H25" s="759"/>
      <c r="I25" s="759"/>
      <c r="J25" s="800"/>
      <c r="K25" s="759"/>
      <c r="L25" s="759"/>
      <c r="M25" s="800"/>
      <c r="N25" s="801"/>
      <c r="O25" s="802"/>
      <c r="P25" s="791"/>
    </row>
    <row r="26" spans="1:16" ht="18.75" x14ac:dyDescent="0.25">
      <c r="A26" s="797"/>
      <c r="B26" s="798"/>
      <c r="C26" s="803"/>
      <c r="D26" s="799"/>
      <c r="E26" s="759"/>
      <c r="F26" s="759"/>
      <c r="G26" s="800"/>
      <c r="H26" s="759"/>
      <c r="I26" s="759"/>
      <c r="J26" s="800"/>
      <c r="K26" s="759"/>
      <c r="L26" s="759"/>
      <c r="M26" s="800"/>
      <c r="N26" s="801"/>
      <c r="O26" s="802"/>
      <c r="P26" s="791"/>
    </row>
    <row r="27" spans="1:16" ht="18.75" x14ac:dyDescent="0.25">
      <c r="A27" s="797"/>
      <c r="B27" s="798"/>
      <c r="C27" s="803"/>
      <c r="D27" s="799"/>
      <c r="E27" s="759"/>
      <c r="F27" s="759"/>
      <c r="G27" s="800"/>
      <c r="H27" s="759"/>
      <c r="I27" s="759"/>
      <c r="J27" s="800"/>
      <c r="K27" s="759"/>
      <c r="L27" s="759"/>
      <c r="M27" s="800"/>
      <c r="N27" s="801"/>
      <c r="O27" s="802"/>
      <c r="P27" s="791"/>
    </row>
    <row r="28" spans="1:16" ht="18.75" x14ac:dyDescent="0.25">
      <c r="A28" s="797"/>
      <c r="B28" s="798"/>
      <c r="C28" s="803"/>
      <c r="D28" s="799"/>
      <c r="E28" s="759"/>
      <c r="F28" s="759"/>
      <c r="G28" s="800"/>
      <c r="H28" s="759"/>
      <c r="I28" s="759"/>
      <c r="J28" s="800"/>
      <c r="K28" s="759"/>
      <c r="L28" s="759"/>
      <c r="M28" s="800"/>
      <c r="N28" s="801"/>
      <c r="O28" s="802"/>
      <c r="P28" s="791"/>
    </row>
    <row r="29" spans="1:16" ht="18.75" x14ac:dyDescent="0.25">
      <c r="A29" s="797"/>
      <c r="B29" s="798"/>
      <c r="C29" s="803"/>
      <c r="D29" s="799"/>
      <c r="E29" s="759"/>
      <c r="F29" s="759"/>
      <c r="G29" s="800"/>
      <c r="H29" s="759"/>
      <c r="I29" s="759"/>
      <c r="J29" s="800"/>
      <c r="K29" s="759"/>
      <c r="L29" s="759"/>
      <c r="M29" s="800"/>
      <c r="N29" s="801"/>
      <c r="O29" s="802"/>
      <c r="P29" s="791"/>
    </row>
    <row r="30" spans="1:16" ht="18.75" x14ac:dyDescent="0.25">
      <c r="A30" s="797"/>
      <c r="B30" s="798"/>
      <c r="C30" s="803"/>
      <c r="D30" s="799"/>
      <c r="E30" s="759"/>
      <c r="F30" s="759"/>
      <c r="G30" s="800"/>
      <c r="H30" s="759"/>
      <c r="I30" s="759"/>
      <c r="J30" s="800"/>
      <c r="K30" s="759"/>
      <c r="L30" s="759"/>
      <c r="M30" s="800"/>
      <c r="N30" s="801"/>
      <c r="O30" s="802"/>
      <c r="P30" s="791"/>
    </row>
    <row r="31" spans="1:16" ht="18.75" x14ac:dyDescent="0.25">
      <c r="A31" s="797"/>
      <c r="B31" s="798"/>
      <c r="C31" s="803"/>
      <c r="D31" s="799"/>
      <c r="E31" s="759"/>
      <c r="F31" s="759"/>
      <c r="G31" s="800"/>
      <c r="H31" s="759"/>
      <c r="I31" s="759"/>
      <c r="J31" s="800"/>
      <c r="K31" s="759"/>
      <c r="L31" s="759"/>
      <c r="M31" s="800"/>
      <c r="N31" s="801"/>
      <c r="O31" s="801"/>
      <c r="P31" s="791"/>
    </row>
    <row r="32" spans="1:16" ht="23.25" x14ac:dyDescent="0.25">
      <c r="A32" s="804"/>
      <c r="B32" s="1695"/>
      <c r="C32" s="1695"/>
      <c r="D32" s="1695"/>
      <c r="E32" s="1695"/>
      <c r="F32" s="1695"/>
      <c r="G32" s="1695"/>
      <c r="H32" s="1695"/>
      <c r="I32" s="1695"/>
      <c r="J32" s="1695"/>
      <c r="K32" s="1695"/>
      <c r="L32" s="1695"/>
      <c r="M32" s="805"/>
      <c r="N32" s="806"/>
      <c r="O32" s="806"/>
      <c r="P32" s="791"/>
    </row>
    <row r="33" spans="1:16" ht="15.75" x14ac:dyDescent="0.25">
      <c r="A33" s="807"/>
      <c r="B33" s="808"/>
      <c r="C33" s="809"/>
      <c r="D33" s="791"/>
      <c r="E33" s="791"/>
      <c r="F33" s="791"/>
      <c r="G33" s="791"/>
      <c r="H33" s="791"/>
      <c r="I33" s="791"/>
      <c r="J33" s="791"/>
      <c r="K33" s="791"/>
      <c r="L33" s="791"/>
      <c r="M33" s="791"/>
      <c r="N33" s="791"/>
      <c r="O33" s="791"/>
      <c r="P33" s="791"/>
    </row>
    <row r="34" spans="1:16" ht="15.75" x14ac:dyDescent="0.25">
      <c r="A34" s="807"/>
      <c r="B34" s="810"/>
      <c r="C34" s="809"/>
      <c r="D34" s="791"/>
      <c r="E34" s="791"/>
      <c r="F34" s="791"/>
      <c r="G34" s="791"/>
      <c r="H34" s="791"/>
      <c r="I34" s="791"/>
      <c r="J34" s="791"/>
      <c r="K34" s="791"/>
      <c r="L34" s="791"/>
      <c r="M34" s="791"/>
      <c r="N34" s="791"/>
      <c r="O34" s="791"/>
      <c r="P34" s="791"/>
    </row>
    <row r="35" spans="1:16" ht="21" x14ac:dyDescent="0.25">
      <c r="A35" s="1698"/>
      <c r="B35" s="1698"/>
      <c r="C35" s="1698"/>
      <c r="D35" s="1698"/>
      <c r="E35" s="1698"/>
      <c r="F35" s="1698"/>
      <c r="G35" s="1698"/>
      <c r="H35" s="1698"/>
      <c r="I35" s="1698"/>
      <c r="J35" s="1698"/>
      <c r="K35" s="1698"/>
      <c r="L35" s="1698"/>
      <c r="M35" s="790"/>
      <c r="N35" s="1696"/>
      <c r="O35" s="1696"/>
      <c r="P35" s="791"/>
    </row>
    <row r="36" spans="1:16" ht="32.25" customHeight="1" x14ac:dyDescent="0.25">
      <c r="A36" s="1692"/>
      <c r="B36" s="1692"/>
      <c r="C36" s="1692"/>
      <c r="D36" s="1692"/>
      <c r="E36" s="1693"/>
      <c r="F36" s="1693"/>
      <c r="G36" s="1693"/>
      <c r="H36" s="1693"/>
      <c r="I36" s="1693"/>
      <c r="J36" s="1693"/>
      <c r="K36" s="1693"/>
      <c r="L36" s="1693"/>
      <c r="M36" s="1693"/>
      <c r="N36" s="1693"/>
      <c r="O36" s="1693"/>
      <c r="P36" s="791"/>
    </row>
    <row r="37" spans="1:16" ht="18" x14ac:dyDescent="0.25">
      <c r="A37" s="792"/>
      <c r="B37" s="793"/>
      <c r="C37" s="794"/>
      <c r="D37" s="795"/>
      <c r="E37" s="796"/>
      <c r="F37" s="796"/>
      <c r="G37" s="795"/>
      <c r="H37" s="796"/>
      <c r="I37" s="796"/>
      <c r="J37" s="795"/>
      <c r="K37" s="796"/>
      <c r="L37" s="796"/>
      <c r="M37" s="795"/>
      <c r="N37" s="1697"/>
      <c r="O37" s="1697"/>
      <c r="P37" s="791"/>
    </row>
    <row r="38" spans="1:16" ht="18.75" x14ac:dyDescent="0.25">
      <c r="A38" s="797"/>
      <c r="B38" s="798"/>
      <c r="C38" s="758"/>
      <c r="D38" s="799"/>
      <c r="E38" s="759"/>
      <c r="F38" s="759"/>
      <c r="G38" s="800"/>
      <c r="H38" s="759"/>
      <c r="I38" s="759"/>
      <c r="J38" s="800"/>
      <c r="K38" s="759"/>
      <c r="L38" s="759"/>
      <c r="M38" s="800"/>
      <c r="N38" s="801"/>
      <c r="O38" s="802"/>
      <c r="P38" s="791"/>
    </row>
    <row r="39" spans="1:16" ht="18.75" x14ac:dyDescent="0.25">
      <c r="A39" s="797"/>
      <c r="B39" s="798"/>
      <c r="C39" s="758"/>
      <c r="D39" s="799"/>
      <c r="E39" s="759"/>
      <c r="F39" s="759"/>
      <c r="G39" s="800"/>
      <c r="H39" s="759"/>
      <c r="I39" s="759"/>
      <c r="J39" s="800"/>
      <c r="K39" s="759"/>
      <c r="L39" s="759"/>
      <c r="M39" s="800"/>
      <c r="N39" s="801"/>
      <c r="O39" s="802"/>
      <c r="P39" s="791"/>
    </row>
    <row r="40" spans="1:16" ht="18.75" x14ac:dyDescent="0.25">
      <c r="A40" s="797"/>
      <c r="B40" s="798"/>
      <c r="C40" s="803"/>
      <c r="D40" s="799"/>
      <c r="E40" s="759"/>
      <c r="F40" s="759"/>
      <c r="G40" s="800"/>
      <c r="H40" s="759"/>
      <c r="I40" s="759"/>
      <c r="J40" s="800"/>
      <c r="K40" s="759"/>
      <c r="L40" s="759"/>
      <c r="M40" s="800"/>
      <c r="N40" s="801"/>
      <c r="O40" s="802"/>
      <c r="P40" s="791"/>
    </row>
    <row r="41" spans="1:16" ht="18.75" x14ac:dyDescent="0.25">
      <c r="A41" s="797"/>
      <c r="B41" s="798"/>
      <c r="C41" s="758"/>
      <c r="D41" s="799"/>
      <c r="E41" s="759"/>
      <c r="F41" s="759"/>
      <c r="G41" s="800"/>
      <c r="H41" s="759"/>
      <c r="I41" s="759"/>
      <c r="J41" s="800"/>
      <c r="K41" s="759"/>
      <c r="L41" s="759"/>
      <c r="M41" s="800"/>
      <c r="N41" s="801"/>
      <c r="O41" s="802"/>
      <c r="P41" s="791"/>
    </row>
    <row r="42" spans="1:16" ht="18.75" x14ac:dyDescent="0.25">
      <c r="A42" s="797"/>
      <c r="B42" s="798"/>
      <c r="C42" s="803"/>
      <c r="D42" s="799"/>
      <c r="E42" s="759"/>
      <c r="F42" s="759"/>
      <c r="G42" s="800"/>
      <c r="H42" s="759"/>
      <c r="I42" s="759"/>
      <c r="J42" s="800"/>
      <c r="K42" s="759"/>
      <c r="L42" s="759"/>
      <c r="M42" s="800"/>
      <c r="N42" s="801"/>
      <c r="O42" s="802"/>
      <c r="P42" s="791"/>
    </row>
    <row r="43" spans="1:16" ht="18.75" x14ac:dyDescent="0.25">
      <c r="A43" s="797"/>
      <c r="B43" s="798"/>
      <c r="C43" s="803"/>
      <c r="D43" s="799"/>
      <c r="E43" s="759"/>
      <c r="F43" s="759"/>
      <c r="G43" s="800"/>
      <c r="H43" s="759"/>
      <c r="I43" s="759"/>
      <c r="J43" s="800"/>
      <c r="K43" s="759"/>
      <c r="L43" s="759"/>
      <c r="M43" s="800"/>
      <c r="N43" s="801"/>
      <c r="O43" s="802"/>
      <c r="P43" s="791"/>
    </row>
    <row r="44" spans="1:16" ht="18.75" x14ac:dyDescent="0.25">
      <c r="A44" s="797"/>
      <c r="B44" s="798"/>
      <c r="C44" s="803"/>
      <c r="D44" s="799"/>
      <c r="E44" s="759"/>
      <c r="F44" s="759"/>
      <c r="G44" s="800"/>
      <c r="H44" s="759"/>
      <c r="I44" s="759"/>
      <c r="J44" s="800"/>
      <c r="K44" s="759"/>
      <c r="L44" s="759"/>
      <c r="M44" s="800"/>
      <c r="N44" s="801"/>
      <c r="O44" s="802"/>
      <c r="P44" s="791"/>
    </row>
    <row r="45" spans="1:16" ht="18.75" x14ac:dyDescent="0.25">
      <c r="A45" s="797"/>
      <c r="B45" s="798"/>
      <c r="C45" s="803"/>
      <c r="D45" s="799"/>
      <c r="E45" s="759"/>
      <c r="F45" s="759"/>
      <c r="G45" s="800"/>
      <c r="H45" s="759"/>
      <c r="I45" s="759"/>
      <c r="J45" s="800"/>
      <c r="K45" s="759"/>
      <c r="L45" s="759"/>
      <c r="M45" s="800"/>
      <c r="N45" s="801"/>
      <c r="O45" s="802"/>
      <c r="P45" s="791"/>
    </row>
    <row r="46" spans="1:16" ht="18.75" x14ac:dyDescent="0.25">
      <c r="A46" s="797"/>
      <c r="B46" s="798"/>
      <c r="C46" s="803"/>
      <c r="D46" s="799"/>
      <c r="E46" s="759"/>
      <c r="F46" s="759"/>
      <c r="G46" s="800"/>
      <c r="H46" s="759"/>
      <c r="I46" s="759"/>
      <c r="J46" s="800"/>
      <c r="K46" s="759"/>
      <c r="L46" s="759"/>
      <c r="M46" s="800"/>
      <c r="N46" s="801"/>
      <c r="O46" s="802"/>
      <c r="P46" s="791"/>
    </row>
    <row r="47" spans="1:16" ht="18.75" x14ac:dyDescent="0.25">
      <c r="A47" s="797"/>
      <c r="B47" s="798"/>
      <c r="C47" s="803"/>
      <c r="D47" s="799"/>
      <c r="E47" s="759"/>
      <c r="F47" s="759"/>
      <c r="G47" s="800"/>
      <c r="H47" s="759"/>
      <c r="I47" s="759"/>
      <c r="J47" s="800"/>
      <c r="K47" s="759"/>
      <c r="L47" s="759"/>
      <c r="M47" s="800"/>
      <c r="N47" s="801"/>
      <c r="O47" s="802"/>
      <c r="P47" s="791"/>
    </row>
    <row r="48" spans="1:16" ht="18.75" x14ac:dyDescent="0.25">
      <c r="A48" s="797"/>
      <c r="B48" s="798"/>
      <c r="C48" s="803"/>
      <c r="D48" s="799"/>
      <c r="E48" s="759"/>
      <c r="F48" s="759"/>
      <c r="G48" s="800"/>
      <c r="H48" s="759"/>
      <c r="I48" s="759"/>
      <c r="J48" s="800"/>
      <c r="K48" s="759"/>
      <c r="L48" s="759"/>
      <c r="M48" s="800"/>
      <c r="N48" s="801"/>
      <c r="O48" s="802"/>
      <c r="P48" s="791"/>
    </row>
    <row r="49" spans="1:16" ht="18.75" x14ac:dyDescent="0.25">
      <c r="A49" s="797"/>
      <c r="B49" s="798"/>
      <c r="C49" s="803"/>
      <c r="D49" s="799"/>
      <c r="E49" s="759"/>
      <c r="F49" s="759"/>
      <c r="G49" s="800"/>
      <c r="H49" s="759"/>
      <c r="I49" s="759"/>
      <c r="J49" s="800"/>
      <c r="K49" s="759"/>
      <c r="L49" s="759"/>
      <c r="M49" s="800"/>
      <c r="N49" s="801"/>
      <c r="O49" s="802"/>
      <c r="P49" s="791"/>
    </row>
    <row r="50" spans="1:16" ht="18.75" x14ac:dyDescent="0.25">
      <c r="A50" s="797"/>
      <c r="B50" s="798"/>
      <c r="C50" s="803"/>
      <c r="D50" s="799"/>
      <c r="E50" s="759"/>
      <c r="F50" s="759"/>
      <c r="G50" s="800"/>
      <c r="H50" s="759"/>
      <c r="I50" s="759"/>
      <c r="J50" s="800"/>
      <c r="K50" s="759"/>
      <c r="L50" s="759"/>
      <c r="M50" s="800"/>
      <c r="N50" s="801"/>
      <c r="O50" s="802"/>
      <c r="P50" s="791"/>
    </row>
    <row r="51" spans="1:16" ht="23.25" x14ac:dyDescent="0.25">
      <c r="A51" s="804"/>
      <c r="B51" s="1695"/>
      <c r="C51" s="1695"/>
      <c r="D51" s="1695"/>
      <c r="E51" s="1695"/>
      <c r="F51" s="1695"/>
      <c r="G51" s="1695"/>
      <c r="H51" s="1695"/>
      <c r="I51" s="1695"/>
      <c r="J51" s="1695"/>
      <c r="K51" s="1695"/>
      <c r="L51" s="1695"/>
      <c r="M51" s="805"/>
      <c r="N51" s="806"/>
      <c r="O51" s="806"/>
      <c r="P51" s="791"/>
    </row>
    <row r="52" spans="1:16" x14ac:dyDescent="0.25">
      <c r="A52" s="791"/>
      <c r="B52" s="791"/>
      <c r="C52" s="791"/>
      <c r="D52" s="791"/>
      <c r="E52" s="791"/>
      <c r="F52" s="791"/>
      <c r="G52" s="791"/>
      <c r="H52" s="791"/>
      <c r="I52" s="791"/>
      <c r="J52" s="791"/>
      <c r="K52" s="791"/>
      <c r="L52" s="791"/>
      <c r="M52" s="791"/>
      <c r="N52" s="791"/>
      <c r="O52" s="791"/>
      <c r="P52" s="791"/>
    </row>
    <row r="53" spans="1:16" x14ac:dyDescent="0.25">
      <c r="A53" s="791"/>
      <c r="B53" s="791"/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</row>
    <row r="54" spans="1:16" x14ac:dyDescent="0.25">
      <c r="A54" s="791"/>
      <c r="B54" s="791"/>
      <c r="C54" s="791"/>
      <c r="D54" s="791"/>
      <c r="E54" s="791"/>
      <c r="F54" s="791"/>
      <c r="G54" s="791"/>
      <c r="H54" s="791"/>
      <c r="I54" s="791"/>
      <c r="J54" s="791"/>
      <c r="K54" s="791"/>
      <c r="L54" s="791"/>
      <c r="M54" s="791"/>
      <c r="N54" s="791"/>
      <c r="O54" s="791"/>
      <c r="P54" s="791"/>
    </row>
  </sheetData>
  <sortState ref="A7:M8">
    <sortCondition descending="1" ref="M7"/>
  </sortState>
  <mergeCells count="21">
    <mergeCell ref="A3:S3"/>
    <mergeCell ref="B32:L32"/>
    <mergeCell ref="N35:O35"/>
    <mergeCell ref="N37:O37"/>
    <mergeCell ref="B51:L51"/>
    <mergeCell ref="A35:L35"/>
    <mergeCell ref="A36:D36"/>
    <mergeCell ref="E36:G36"/>
    <mergeCell ref="H36:J36"/>
    <mergeCell ref="K36:M36"/>
    <mergeCell ref="N36:O36"/>
    <mergeCell ref="N18:O18"/>
    <mergeCell ref="A5:J5"/>
    <mergeCell ref="B14:L14"/>
    <mergeCell ref="A16:L16"/>
    <mergeCell ref="N16:O16"/>
    <mergeCell ref="A17:D17"/>
    <mergeCell ref="E17:G17"/>
    <mergeCell ref="H17:J17"/>
    <mergeCell ref="K17:M17"/>
    <mergeCell ref="N17:O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zoomScale="89" zoomScaleNormal="89" workbookViewId="0">
      <selection activeCell="T17" sqref="T17"/>
    </sheetView>
  </sheetViews>
  <sheetFormatPr defaultRowHeight="15" x14ac:dyDescent="0.25"/>
  <cols>
    <col min="1" max="1" width="28.42578125" customWidth="1"/>
    <col min="4" max="4" width="10.85546875" customWidth="1"/>
    <col min="6" max="6" width="0" hidden="1" customWidth="1"/>
    <col min="11" max="11" width="8.85546875" style="625" customWidth="1"/>
    <col min="12" max="12" width="0.5703125" customWidth="1"/>
    <col min="13" max="13" width="9.140625" hidden="1" customWidth="1"/>
    <col min="14" max="14" width="0.140625" customWidth="1"/>
    <col min="15" max="15" width="9.140625" hidden="1" customWidth="1"/>
    <col min="16" max="16" width="0.28515625" customWidth="1"/>
    <col min="17" max="17" width="9.140625" hidden="1" customWidth="1"/>
    <col min="18" max="18" width="0.5703125" customWidth="1"/>
    <col min="19" max="19" width="1.85546875" customWidth="1"/>
  </cols>
  <sheetData>
    <row r="1" spans="1:19" ht="15.75" thickBot="1" x14ac:dyDescent="0.3"/>
    <row r="2" spans="1:19" ht="19.5" thickBot="1" x14ac:dyDescent="0.3">
      <c r="A2" s="1689" t="s">
        <v>206</v>
      </c>
      <c r="B2" s="1690"/>
      <c r="C2" s="1690"/>
      <c r="D2" s="1690"/>
      <c r="E2" s="1690"/>
      <c r="F2" s="1690"/>
      <c r="G2" s="1690"/>
      <c r="H2" s="1690"/>
      <c r="I2" s="1690"/>
      <c r="J2" s="1690"/>
      <c r="K2" s="1690"/>
      <c r="L2" s="1690"/>
      <c r="M2" s="1690"/>
      <c r="N2" s="1690"/>
      <c r="O2" s="1690"/>
      <c r="P2" s="1690"/>
      <c r="Q2" s="1690"/>
      <c r="R2" s="1690"/>
      <c r="S2" s="1691"/>
    </row>
    <row r="3" spans="1:19" ht="15.75" thickBot="1" x14ac:dyDescent="0.3"/>
    <row r="4" spans="1:19" ht="21" thickBot="1" x14ac:dyDescent="0.3">
      <c r="A4" s="1667" t="s">
        <v>162</v>
      </c>
      <c r="B4" s="1668"/>
      <c r="C4" s="1668"/>
      <c r="D4" s="1668"/>
      <c r="E4" s="1668"/>
      <c r="F4" s="1668"/>
      <c r="G4" s="1668"/>
      <c r="H4" s="1668"/>
      <c r="I4" s="1668"/>
      <c r="J4" s="1668"/>
      <c r="K4" s="718"/>
    </row>
    <row r="5" spans="1:19" ht="27.75" thickBot="1" x14ac:dyDescent="0.3">
      <c r="A5" s="327" t="s">
        <v>18</v>
      </c>
      <c r="B5" s="396" t="s">
        <v>17</v>
      </c>
      <c r="C5" s="328" t="s">
        <v>112</v>
      </c>
      <c r="D5" s="329" t="s">
        <v>19</v>
      </c>
      <c r="E5" s="487" t="s">
        <v>150</v>
      </c>
      <c r="F5" s="19" t="s">
        <v>150</v>
      </c>
      <c r="G5" s="19" t="s">
        <v>151</v>
      </c>
      <c r="H5" s="20" t="s">
        <v>152</v>
      </c>
      <c r="I5" s="133" t="s">
        <v>22</v>
      </c>
      <c r="J5" s="488" t="s">
        <v>120</v>
      </c>
      <c r="K5" s="687" t="s">
        <v>121</v>
      </c>
    </row>
    <row r="6" spans="1:19" ht="18.75" x14ac:dyDescent="0.25">
      <c r="A6" s="782" t="s">
        <v>54</v>
      </c>
      <c r="B6" s="1494">
        <v>2</v>
      </c>
      <c r="C6" s="783" t="s">
        <v>3</v>
      </c>
      <c r="D6" s="953" t="s">
        <v>7</v>
      </c>
      <c r="E6" s="426">
        <v>186</v>
      </c>
      <c r="F6" s="97"/>
      <c r="G6" s="97">
        <v>181</v>
      </c>
      <c r="H6" s="427">
        <v>173</v>
      </c>
      <c r="I6" s="125">
        <f>SUM(E6:H6)</f>
        <v>540</v>
      </c>
      <c r="J6" s="1492"/>
      <c r="K6" s="1493"/>
    </row>
    <row r="7" spans="1:19" ht="19.5" thickBot="1" x14ac:dyDescent="0.3">
      <c r="A7" s="358" t="s">
        <v>122</v>
      </c>
      <c r="B7" s="464">
        <v>1383</v>
      </c>
      <c r="C7" s="421" t="s">
        <v>3</v>
      </c>
      <c r="D7" s="359" t="s">
        <v>12</v>
      </c>
      <c r="E7" s="121">
        <v>179</v>
      </c>
      <c r="F7" s="58"/>
      <c r="G7" s="58">
        <v>180</v>
      </c>
      <c r="H7" s="122">
        <v>179</v>
      </c>
      <c r="I7" s="596">
        <f>SUM(E7:H7)</f>
        <v>538</v>
      </c>
      <c r="J7" s="1699"/>
      <c r="K7" s="1700"/>
    </row>
    <row r="8" spans="1:19" ht="18.75" x14ac:dyDescent="0.25">
      <c r="A8" s="343" t="s">
        <v>123</v>
      </c>
      <c r="B8" s="432">
        <v>1281</v>
      </c>
      <c r="C8" s="345" t="s">
        <v>4</v>
      </c>
      <c r="D8" s="433" t="s">
        <v>7</v>
      </c>
      <c r="E8" s="399">
        <v>177</v>
      </c>
      <c r="F8" s="30"/>
      <c r="G8" s="30">
        <v>178</v>
      </c>
      <c r="H8" s="1399">
        <v>177</v>
      </c>
      <c r="I8" s="93">
        <f t="shared" ref="I8" si="0">SUM(E8:H8)</f>
        <v>532</v>
      </c>
      <c r="J8" s="363" t="str">
        <f t="shared" ref="J8" si="1">IF(I8&gt;549,"Yes","NO")</f>
        <v>NO</v>
      </c>
      <c r="K8" s="695" t="str">
        <f t="shared" ref="K8" si="2">IF(J8="Yes","M","")</f>
        <v/>
      </c>
    </row>
    <row r="9" spans="1:19" ht="18.75" x14ac:dyDescent="0.25">
      <c r="A9" s="379" t="s">
        <v>170</v>
      </c>
      <c r="B9" s="380">
        <v>169</v>
      </c>
      <c r="C9" s="350" t="s">
        <v>4</v>
      </c>
      <c r="D9" s="364" t="s">
        <v>7</v>
      </c>
      <c r="E9" s="118">
        <v>173</v>
      </c>
      <c r="F9" s="41"/>
      <c r="G9" s="41">
        <v>177</v>
      </c>
      <c r="H9" s="119">
        <v>167</v>
      </c>
      <c r="I9" s="719">
        <f t="shared" ref="I9" si="3">SUM(E9:H9)</f>
        <v>517</v>
      </c>
      <c r="J9" s="342" t="str">
        <f t="shared" ref="J9" si="4">IF(I9&gt;549,"Yes","NO")</f>
        <v>NO</v>
      </c>
      <c r="K9" s="696" t="str">
        <f t="shared" ref="K9" si="5">IF(J9="Yes","M","")</f>
        <v/>
      </c>
    </row>
    <row r="10" spans="1:19" ht="19.5" thickBot="1" x14ac:dyDescent="0.3">
      <c r="A10" s="565" t="s">
        <v>229</v>
      </c>
      <c r="B10" s="569">
        <v>506</v>
      </c>
      <c r="C10" s="575" t="s">
        <v>4</v>
      </c>
      <c r="D10" s="1495" t="s">
        <v>8</v>
      </c>
      <c r="E10" s="518">
        <v>160</v>
      </c>
      <c r="F10" s="108"/>
      <c r="G10" s="108">
        <v>172</v>
      </c>
      <c r="H10" s="519">
        <v>174</v>
      </c>
      <c r="I10" s="1498">
        <f t="shared" ref="I10:I11" si="6">SUM(E10:H10)</f>
        <v>506</v>
      </c>
      <c r="J10" s="1499" t="str">
        <f t="shared" ref="J10:J11" si="7">IF(I10&gt;549,"Yes","NO")</f>
        <v>NO</v>
      </c>
      <c r="K10" s="1500"/>
    </row>
    <row r="11" spans="1:19" ht="18.75" x14ac:dyDescent="0.25">
      <c r="A11" s="379" t="s">
        <v>56</v>
      </c>
      <c r="B11" s="380">
        <v>641</v>
      </c>
      <c r="C11" s="350" t="s">
        <v>6</v>
      </c>
      <c r="D11" s="364" t="s">
        <v>12</v>
      </c>
      <c r="E11" s="134">
        <v>168</v>
      </c>
      <c r="F11" s="41"/>
      <c r="G11" s="41">
        <v>169</v>
      </c>
      <c r="H11" s="435">
        <v>171</v>
      </c>
      <c r="I11" s="1497">
        <f t="shared" si="6"/>
        <v>508</v>
      </c>
      <c r="J11" s="368" t="str">
        <f t="shared" si="7"/>
        <v>NO</v>
      </c>
      <c r="K11" s="697"/>
    </row>
    <row r="12" spans="1:19" ht="19.5" thickBot="1" x14ac:dyDescent="0.3">
      <c r="A12" s="565" t="s">
        <v>230</v>
      </c>
      <c r="B12" s="569">
        <v>1452</v>
      </c>
      <c r="C12" s="595" t="s">
        <v>6</v>
      </c>
      <c r="D12" s="1495" t="s">
        <v>10</v>
      </c>
      <c r="E12" s="530">
        <v>159</v>
      </c>
      <c r="F12" s="108"/>
      <c r="G12" s="108">
        <v>144</v>
      </c>
      <c r="H12" s="529">
        <v>130</v>
      </c>
      <c r="I12" s="1400">
        <f t="shared" ref="I12:I19" si="8">SUM(E12:H12)</f>
        <v>433</v>
      </c>
      <c r="J12" s="692" t="str">
        <f t="shared" ref="J12" si="9">IF(I12&gt;519,"Yes","NO")</f>
        <v>NO</v>
      </c>
      <c r="K12" s="1496"/>
    </row>
    <row r="13" spans="1:19" ht="18.75" x14ac:dyDescent="0.25">
      <c r="A13" s="379" t="s">
        <v>231</v>
      </c>
      <c r="B13" s="489">
        <v>647</v>
      </c>
      <c r="C13" s="467" t="s">
        <v>5</v>
      </c>
      <c r="D13" s="468" t="s">
        <v>10</v>
      </c>
      <c r="E13" s="118">
        <v>182</v>
      </c>
      <c r="F13" s="41"/>
      <c r="G13" s="41">
        <v>182</v>
      </c>
      <c r="H13" s="119">
        <v>177</v>
      </c>
      <c r="I13" s="720">
        <f t="shared" si="8"/>
        <v>541</v>
      </c>
      <c r="J13" s="368" t="str">
        <f>IF(I13&gt;489,"Yes","NO")</f>
        <v>Yes</v>
      </c>
      <c r="K13" s="697" t="str">
        <f>IF(J13="Yes","S","")</f>
        <v>S</v>
      </c>
    </row>
    <row r="14" spans="1:19" ht="18.75" x14ac:dyDescent="0.25">
      <c r="A14" s="339" t="s">
        <v>102</v>
      </c>
      <c r="B14" s="494">
        <v>1577</v>
      </c>
      <c r="C14" s="495" t="s">
        <v>5</v>
      </c>
      <c r="D14" s="496" t="s">
        <v>12</v>
      </c>
      <c r="E14" s="162">
        <v>144</v>
      </c>
      <c r="F14" s="49"/>
      <c r="G14" s="49">
        <v>165</v>
      </c>
      <c r="H14" s="163">
        <v>121</v>
      </c>
      <c r="I14" s="721">
        <f t="shared" si="8"/>
        <v>430</v>
      </c>
      <c r="J14" s="342" t="str">
        <f t="shared" ref="J14:J19" si="10">IF(I14&gt;489,"Yes","NO")</f>
        <v>NO</v>
      </c>
      <c r="K14" s="696" t="str">
        <f t="shared" ref="K14:K19" si="11">IF(J14="Yes","S","")</f>
        <v/>
      </c>
    </row>
    <row r="15" spans="1:19" ht="18.75" x14ac:dyDescent="0.25">
      <c r="A15" s="379" t="s">
        <v>76</v>
      </c>
      <c r="B15" s="489">
        <v>1580</v>
      </c>
      <c r="C15" s="467" t="s">
        <v>5</v>
      </c>
      <c r="D15" s="468" t="s">
        <v>12</v>
      </c>
      <c r="E15" s="118">
        <v>169</v>
      </c>
      <c r="F15" s="41"/>
      <c r="G15" s="41">
        <v>142</v>
      </c>
      <c r="H15" s="119">
        <v>116</v>
      </c>
      <c r="I15" s="721">
        <f t="shared" si="8"/>
        <v>427</v>
      </c>
      <c r="J15" s="342" t="str">
        <f t="shared" si="10"/>
        <v>NO</v>
      </c>
      <c r="K15" s="696"/>
    </row>
    <row r="16" spans="1:19" ht="18.75" x14ac:dyDescent="0.25">
      <c r="A16" s="379" t="s">
        <v>82</v>
      </c>
      <c r="B16" s="489">
        <v>1291</v>
      </c>
      <c r="C16" s="467" t="s">
        <v>5</v>
      </c>
      <c r="D16" s="468" t="s">
        <v>7</v>
      </c>
      <c r="E16" s="118">
        <v>158</v>
      </c>
      <c r="F16" s="41"/>
      <c r="G16" s="41">
        <v>127</v>
      </c>
      <c r="H16" s="119">
        <v>139</v>
      </c>
      <c r="I16" s="721">
        <f t="shared" si="8"/>
        <v>424</v>
      </c>
      <c r="J16" s="342" t="str">
        <f t="shared" si="10"/>
        <v>NO</v>
      </c>
      <c r="K16" s="696"/>
    </row>
    <row r="17" spans="1:11" ht="18.75" x14ac:dyDescent="0.25">
      <c r="A17" s="379" t="s">
        <v>74</v>
      </c>
      <c r="B17" s="489">
        <v>723</v>
      </c>
      <c r="C17" s="467" t="s">
        <v>5</v>
      </c>
      <c r="D17" s="351" t="s">
        <v>12</v>
      </c>
      <c r="E17" s="118">
        <v>143</v>
      </c>
      <c r="F17" s="41"/>
      <c r="G17" s="41">
        <v>145</v>
      </c>
      <c r="H17" s="119">
        <v>127</v>
      </c>
      <c r="I17" s="720">
        <f t="shared" si="8"/>
        <v>415</v>
      </c>
      <c r="J17" s="342" t="str">
        <f t="shared" si="10"/>
        <v>NO</v>
      </c>
      <c r="K17" s="696" t="str">
        <f t="shared" si="11"/>
        <v/>
      </c>
    </row>
    <row r="18" spans="1:11" ht="18.75" x14ac:dyDescent="0.25">
      <c r="A18" s="471" t="s">
        <v>263</v>
      </c>
      <c r="B18" s="490">
        <v>1207</v>
      </c>
      <c r="C18" s="491" t="s">
        <v>5</v>
      </c>
      <c r="D18" s="492" t="s">
        <v>12</v>
      </c>
      <c r="E18" s="162">
        <v>147</v>
      </c>
      <c r="F18" s="49"/>
      <c r="G18" s="49">
        <v>111</v>
      </c>
      <c r="H18" s="163">
        <v>138</v>
      </c>
      <c r="I18" s="721">
        <f t="shared" si="8"/>
        <v>396</v>
      </c>
      <c r="J18" s="342" t="str">
        <f t="shared" si="10"/>
        <v>NO</v>
      </c>
      <c r="K18" s="696" t="str">
        <f t="shared" si="11"/>
        <v/>
      </c>
    </row>
    <row r="19" spans="1:11" ht="19.5" thickBot="1" x14ac:dyDescent="0.3">
      <c r="A19" s="471" t="s">
        <v>153</v>
      </c>
      <c r="B19" s="490">
        <v>1723</v>
      </c>
      <c r="C19" s="491" t="s">
        <v>5</v>
      </c>
      <c r="D19" s="493" t="s">
        <v>12</v>
      </c>
      <c r="E19" s="162">
        <v>121</v>
      </c>
      <c r="F19" s="49"/>
      <c r="G19" s="49">
        <v>98</v>
      </c>
      <c r="H19" s="163">
        <v>59</v>
      </c>
      <c r="I19" s="721">
        <f t="shared" si="8"/>
        <v>278</v>
      </c>
      <c r="J19" s="342" t="str">
        <f t="shared" si="10"/>
        <v>NO</v>
      </c>
      <c r="K19" s="696" t="str">
        <f t="shared" si="11"/>
        <v/>
      </c>
    </row>
    <row r="20" spans="1:11" ht="19.5" thickBot="1" x14ac:dyDescent="0.3">
      <c r="A20" s="497" t="s">
        <v>78</v>
      </c>
      <c r="B20" s="1686" t="s">
        <v>154</v>
      </c>
      <c r="C20" s="1687"/>
      <c r="D20" s="1687"/>
      <c r="E20" s="1687"/>
      <c r="F20" s="1687"/>
      <c r="G20" s="1687"/>
      <c r="H20" s="1687"/>
      <c r="I20" s="1687"/>
      <c r="J20" s="1684"/>
      <c r="K20" s="1685"/>
    </row>
  </sheetData>
  <sortState ref="A6:I7">
    <sortCondition descending="1" ref="I6:I7"/>
  </sortState>
  <mergeCells count="4">
    <mergeCell ref="A4:J4"/>
    <mergeCell ref="J7:K7"/>
    <mergeCell ref="B20:K20"/>
    <mergeCell ref="A2:S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12" sqref="I12"/>
    </sheetView>
  </sheetViews>
  <sheetFormatPr defaultRowHeight="15" x14ac:dyDescent="0.25"/>
  <cols>
    <col min="1" max="1" width="35.28515625" customWidth="1"/>
  </cols>
  <sheetData>
    <row r="1" spans="1:6" x14ac:dyDescent="0.25">
      <c r="A1" s="1562" t="s">
        <v>295</v>
      </c>
      <c r="B1" s="1562" t="s">
        <v>296</v>
      </c>
      <c r="C1" s="1562" t="s">
        <v>297</v>
      </c>
      <c r="D1" s="1562" t="s">
        <v>0</v>
      </c>
      <c r="E1" s="1562">
        <v>600</v>
      </c>
      <c r="F1" s="1563" t="s">
        <v>298</v>
      </c>
    </row>
    <row r="2" spans="1:6" x14ac:dyDescent="0.25">
      <c r="A2" s="1562"/>
      <c r="B2" s="1562"/>
      <c r="C2" s="1562"/>
      <c r="D2" s="1562"/>
      <c r="E2" s="1562"/>
      <c r="F2" s="1564"/>
    </row>
    <row r="3" spans="1:6" x14ac:dyDescent="0.25">
      <c r="A3" s="1562" t="s">
        <v>172</v>
      </c>
      <c r="B3" s="1562">
        <v>297</v>
      </c>
      <c r="C3" s="1562">
        <v>103</v>
      </c>
      <c r="D3" s="1562">
        <v>456</v>
      </c>
      <c r="E3" s="1562">
        <v>576</v>
      </c>
      <c r="F3" s="1564">
        <v>1432</v>
      </c>
    </row>
    <row r="4" spans="1:6" x14ac:dyDescent="0.25">
      <c r="A4" s="1562" t="s">
        <v>299</v>
      </c>
      <c r="B4" s="1562">
        <v>290</v>
      </c>
      <c r="C4" s="1562">
        <v>92</v>
      </c>
      <c r="D4" s="1562">
        <v>465</v>
      </c>
      <c r="E4" s="1562">
        <v>569</v>
      </c>
      <c r="F4" s="1564">
        <v>1416</v>
      </c>
    </row>
    <row r="5" spans="1:6" x14ac:dyDescent="0.25">
      <c r="A5" s="1562" t="s">
        <v>200</v>
      </c>
      <c r="B5" s="1562">
        <v>270</v>
      </c>
      <c r="C5" s="1562">
        <v>82</v>
      </c>
      <c r="D5" s="1562">
        <v>450</v>
      </c>
      <c r="E5" s="1562">
        <v>554</v>
      </c>
      <c r="F5" s="1564">
        <v>1356</v>
      </c>
    </row>
    <row r="6" spans="1:6" x14ac:dyDescent="0.25">
      <c r="A6" s="1562"/>
      <c r="B6" s="1562"/>
      <c r="C6" s="1562"/>
      <c r="D6" s="1562"/>
      <c r="E6" s="1562"/>
      <c r="F6" s="1564"/>
    </row>
    <row r="7" spans="1:6" x14ac:dyDescent="0.25">
      <c r="A7" s="1562"/>
      <c r="B7" s="1562"/>
      <c r="C7" s="1562"/>
      <c r="D7" s="1562"/>
      <c r="E7" s="1562"/>
      <c r="F7" s="1564"/>
    </row>
    <row r="8" spans="1:6" x14ac:dyDescent="0.25">
      <c r="A8" s="1562"/>
      <c r="B8" s="1562"/>
      <c r="C8" s="1562"/>
      <c r="D8" s="1562"/>
      <c r="E8" s="1562"/>
      <c r="F8" s="1564"/>
    </row>
    <row r="9" spans="1:6" x14ac:dyDescent="0.25">
      <c r="A9" s="1562"/>
      <c r="B9" s="1562"/>
      <c r="C9" s="1562"/>
      <c r="D9" s="1562"/>
      <c r="E9" s="1562"/>
      <c r="F9" s="1564"/>
    </row>
    <row r="10" spans="1:6" x14ac:dyDescent="0.25">
      <c r="A10" s="1562"/>
      <c r="B10" s="1562"/>
      <c r="C10" s="1562"/>
      <c r="D10" s="1562"/>
      <c r="E10" s="1562"/>
      <c r="F10" s="1562"/>
    </row>
    <row r="11" spans="1:6" x14ac:dyDescent="0.25">
      <c r="A11" s="1562"/>
      <c r="B11" s="1562"/>
      <c r="C11" s="1562"/>
      <c r="D11" s="1562"/>
      <c r="E11" s="1562"/>
      <c r="F11" s="1562"/>
    </row>
    <row r="12" spans="1:6" x14ac:dyDescent="0.25">
      <c r="A12" s="1562"/>
      <c r="B12" s="1562"/>
      <c r="C12" s="1562"/>
      <c r="D12" s="1562"/>
      <c r="E12" s="1562"/>
      <c r="F12" s="1562"/>
    </row>
    <row r="13" spans="1:6" x14ac:dyDescent="0.25">
      <c r="A13" s="1562"/>
      <c r="B13" s="1562"/>
      <c r="C13" s="1562"/>
      <c r="D13" s="1562"/>
      <c r="E13" s="1562"/>
      <c r="F13" s="1562"/>
    </row>
    <row r="14" spans="1:6" x14ac:dyDescent="0.25">
      <c r="A14" s="1562"/>
      <c r="B14" s="1562"/>
      <c r="C14" s="1562"/>
      <c r="D14" s="1562"/>
      <c r="E14" s="1562"/>
      <c r="F14" s="156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5"/>
  <sheetViews>
    <sheetView workbookViewId="0">
      <selection activeCell="C8" sqref="C8"/>
    </sheetView>
  </sheetViews>
  <sheetFormatPr defaultRowHeight="15" x14ac:dyDescent="0.25"/>
  <cols>
    <col min="1" max="1" width="6.42578125" customWidth="1"/>
    <col min="3" max="3" width="25.7109375" customWidth="1"/>
    <col min="6" max="6" width="0" hidden="1" customWidth="1"/>
    <col min="7" max="7" width="6.7109375" style="2" customWidth="1"/>
    <col min="8" max="8" width="7" style="2" customWidth="1"/>
    <col min="9" max="9" width="6.5703125" style="2" customWidth="1"/>
    <col min="10" max="10" width="5.85546875" style="2" customWidth="1"/>
    <col min="11" max="11" width="6.5703125" style="2" customWidth="1"/>
    <col min="12" max="12" width="6.85546875" style="2" customWidth="1"/>
    <col min="17" max="17" width="9.140625" customWidth="1"/>
    <col min="18" max="18" width="0.85546875" customWidth="1"/>
    <col min="19" max="19" width="0.28515625" customWidth="1"/>
  </cols>
  <sheetData>
    <row r="1" spans="1:23" ht="16.5" thickBot="1" x14ac:dyDescent="0.3">
      <c r="A1" s="3"/>
      <c r="B1" s="5"/>
      <c r="C1" s="5"/>
      <c r="D1" s="12"/>
      <c r="E1" s="6"/>
      <c r="F1" s="13"/>
      <c r="G1" s="3"/>
      <c r="H1" s="3"/>
      <c r="I1" s="3"/>
      <c r="J1" s="3"/>
      <c r="K1" s="3"/>
      <c r="L1" s="3"/>
      <c r="M1" s="14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  <c r="T2" s="3"/>
      <c r="U2" s="3"/>
      <c r="V2" s="3"/>
      <c r="W2" s="3"/>
    </row>
    <row r="3" spans="1:23" ht="16.5" thickBot="1" x14ac:dyDescent="0.3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4"/>
      <c r="P3" s="10"/>
      <c r="Q3" s="3"/>
      <c r="R3" s="3"/>
      <c r="S3" s="3"/>
      <c r="T3" s="3"/>
      <c r="U3" s="3"/>
      <c r="V3" s="3"/>
      <c r="W3" s="3"/>
    </row>
    <row r="4" spans="1:23" ht="24" thickBot="1" x14ac:dyDescent="0.3">
      <c r="A4" s="11"/>
      <c r="B4" s="1590" t="s">
        <v>156</v>
      </c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1611"/>
      <c r="Q4" s="1611"/>
      <c r="R4" s="1611"/>
      <c r="S4" s="1612"/>
      <c r="T4" s="11"/>
      <c r="U4" s="11"/>
      <c r="V4" s="11"/>
      <c r="W4" s="11"/>
    </row>
    <row r="5" spans="1:23" ht="24.75" customHeight="1" thickBot="1" x14ac:dyDescent="0.3">
      <c r="A5" s="3"/>
      <c r="B5" s="1601" t="s">
        <v>41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3"/>
      <c r="R5" s="3"/>
      <c r="S5" s="3"/>
      <c r="T5" s="3"/>
      <c r="U5" s="3"/>
      <c r="V5" s="3"/>
      <c r="W5" s="3"/>
    </row>
    <row r="6" spans="1:23" ht="32.25" thickBot="1" x14ac:dyDescent="0.3">
      <c r="A6" s="3"/>
      <c r="B6" s="15" t="s">
        <v>157</v>
      </c>
      <c r="C6" s="16" t="s">
        <v>18</v>
      </c>
      <c r="D6" s="17" t="s">
        <v>19</v>
      </c>
      <c r="E6" s="79" t="s">
        <v>20</v>
      </c>
      <c r="F6" s="501"/>
      <c r="G6" s="481" t="s">
        <v>21</v>
      </c>
      <c r="H6" s="470">
        <v>10</v>
      </c>
      <c r="I6" s="470">
        <v>9</v>
      </c>
      <c r="J6" s="470">
        <v>8</v>
      </c>
      <c r="K6" s="480">
        <v>7</v>
      </c>
      <c r="L6" s="92">
        <v>0</v>
      </c>
      <c r="M6" s="93" t="s">
        <v>22</v>
      </c>
      <c r="N6" s="94" t="s">
        <v>42</v>
      </c>
      <c r="O6" s="23" t="s">
        <v>24</v>
      </c>
      <c r="P6" s="15" t="s">
        <v>25</v>
      </c>
      <c r="Q6" s="24" t="s">
        <v>26</v>
      </c>
      <c r="R6" s="3"/>
      <c r="S6" s="3"/>
      <c r="T6" s="3"/>
      <c r="U6" s="3"/>
      <c r="V6" s="3"/>
      <c r="W6" s="3"/>
    </row>
    <row r="7" spans="1:23" ht="15.75" x14ac:dyDescent="0.25">
      <c r="A7" s="25" t="s">
        <v>43</v>
      </c>
      <c r="B7" s="95">
        <v>1475</v>
      </c>
      <c r="C7" s="542" t="s">
        <v>30</v>
      </c>
      <c r="D7" s="96" t="s">
        <v>10</v>
      </c>
      <c r="E7" s="83" t="s">
        <v>13</v>
      </c>
      <c r="F7" s="80" t="e">
        <f>VLOOKUP(E7,$X$9:$X$10,2,FALSE)</f>
        <v>#N/A</v>
      </c>
      <c r="G7" s="1381">
        <v>33</v>
      </c>
      <c r="H7" s="1381">
        <v>17</v>
      </c>
      <c r="I7" s="1381">
        <v>10</v>
      </c>
      <c r="J7" s="1381"/>
      <c r="K7" s="97"/>
      <c r="L7" s="752"/>
      <c r="M7" s="753">
        <f>(G7*10)+(H7*10)+(I7*9)+(J7*8)+(K7*7)</f>
        <v>590</v>
      </c>
      <c r="N7" s="581">
        <f>SUM(G7:L7)</f>
        <v>60</v>
      </c>
      <c r="O7" s="426"/>
      <c r="P7" s="427"/>
      <c r="Q7" s="35"/>
      <c r="R7" s="3"/>
      <c r="S7" s="3"/>
      <c r="T7" s="3"/>
      <c r="U7" s="3"/>
      <c r="V7" s="3"/>
      <c r="W7" s="3"/>
    </row>
    <row r="8" spans="1:23" ht="16.5" thickBot="1" x14ac:dyDescent="0.3">
      <c r="A8" s="25" t="s">
        <v>43</v>
      </c>
      <c r="B8" s="45">
        <v>1786</v>
      </c>
      <c r="C8" s="71" t="s">
        <v>172</v>
      </c>
      <c r="D8" s="46" t="s">
        <v>12</v>
      </c>
      <c r="E8" s="47" t="s">
        <v>13</v>
      </c>
      <c r="F8" s="48"/>
      <c r="G8" s="818">
        <v>22</v>
      </c>
      <c r="H8" s="818">
        <v>26</v>
      </c>
      <c r="I8" s="818">
        <v>10</v>
      </c>
      <c r="J8" s="818">
        <v>2</v>
      </c>
      <c r="K8" s="49"/>
      <c r="L8" s="107"/>
      <c r="M8" s="115">
        <f>(G8*10)+(H8*10)+(I8*9)+(J8*8)+(K8*7)</f>
        <v>586</v>
      </c>
      <c r="N8" s="506">
        <f>SUM(G8:L8)</f>
        <v>60</v>
      </c>
      <c r="O8" s="121"/>
      <c r="P8" s="122"/>
      <c r="Q8" s="110"/>
      <c r="R8" s="3"/>
      <c r="S8" s="3"/>
      <c r="T8" s="3"/>
      <c r="U8" s="3"/>
      <c r="V8" s="3"/>
      <c r="W8" s="3"/>
    </row>
    <row r="9" spans="1:23" ht="15.75" x14ac:dyDescent="0.25">
      <c r="A9" s="25" t="s">
        <v>43</v>
      </c>
      <c r="B9" s="95">
        <v>921</v>
      </c>
      <c r="C9" s="61" t="s">
        <v>33</v>
      </c>
      <c r="D9" s="27" t="s">
        <v>10</v>
      </c>
      <c r="E9" s="28" t="s">
        <v>3</v>
      </c>
      <c r="F9" s="80" t="e">
        <f>VLOOKUP(E9,$X$9:$X$10,2,FALSE)</f>
        <v>#N/A</v>
      </c>
      <c r="G9" s="1161">
        <v>18</v>
      </c>
      <c r="H9" s="1161">
        <v>17</v>
      </c>
      <c r="I9" s="1161">
        <v>20</v>
      </c>
      <c r="J9" s="1161">
        <v>5</v>
      </c>
      <c r="K9" s="1161"/>
      <c r="L9" s="752"/>
      <c r="M9" s="106">
        <f t="shared" ref="M9:M11" si="0">(G9*10)+(H9*10)+(I9*9)+(J9*8)+(K9*7)</f>
        <v>570</v>
      </c>
      <c r="N9" s="605">
        <f>SUM(G9:L9)</f>
        <v>60</v>
      </c>
      <c r="O9" s="831" t="s">
        <v>204</v>
      </c>
      <c r="P9" s="832"/>
      <c r="Q9" s="577"/>
      <c r="R9" s="3"/>
      <c r="S9" s="3"/>
      <c r="T9" s="3"/>
      <c r="U9" s="3"/>
      <c r="V9" s="3"/>
      <c r="W9" s="3"/>
    </row>
    <row r="10" spans="1:23" ht="15.75" x14ac:dyDescent="0.25">
      <c r="A10" s="25" t="s">
        <v>43</v>
      </c>
      <c r="B10" s="45">
        <v>2296</v>
      </c>
      <c r="C10" s="71" t="s">
        <v>218</v>
      </c>
      <c r="D10" s="46" t="s">
        <v>10</v>
      </c>
      <c r="E10" s="47" t="s">
        <v>3</v>
      </c>
      <c r="F10" s="48"/>
      <c r="G10" s="1157">
        <v>9</v>
      </c>
      <c r="H10" s="1157">
        <v>21</v>
      </c>
      <c r="I10" s="1157">
        <v>25</v>
      </c>
      <c r="J10" s="1157">
        <v>5</v>
      </c>
      <c r="K10" s="1157"/>
      <c r="L10" s="107"/>
      <c r="M10" s="115">
        <f t="shared" si="0"/>
        <v>565</v>
      </c>
      <c r="N10" s="506">
        <f t="shared" ref="N10" si="1">SUM(G10:L10)</f>
        <v>60</v>
      </c>
      <c r="O10" s="834" t="s">
        <v>204</v>
      </c>
      <c r="P10" s="104" t="str">
        <f>IF(O10="yes","HM","")</f>
        <v/>
      </c>
      <c r="Q10" s="53" t="str">
        <f t="shared" ref="Q10:Q15" si="2">IF(M10=0," ",IF(N10&lt;&gt;60,"ERROR!"," "))</f>
        <v xml:space="preserve"> </v>
      </c>
      <c r="R10" s="3"/>
      <c r="S10" s="3"/>
      <c r="T10" s="3"/>
      <c r="U10" s="3"/>
      <c r="V10" s="3"/>
      <c r="W10" s="3"/>
    </row>
    <row r="11" spans="1:23" ht="16.5" thickBot="1" x14ac:dyDescent="0.3">
      <c r="A11" s="25" t="s">
        <v>43</v>
      </c>
      <c r="B11" s="571">
        <v>1118</v>
      </c>
      <c r="C11" s="86" t="s">
        <v>31</v>
      </c>
      <c r="D11" s="870" t="s">
        <v>10</v>
      </c>
      <c r="E11" s="926" t="s">
        <v>3</v>
      </c>
      <c r="F11" s="88" t="e">
        <f>VLOOKUP(E11,$X$9:$X$10,2,FALSE)</f>
        <v>#N/A</v>
      </c>
      <c r="G11" s="1160">
        <v>11</v>
      </c>
      <c r="H11" s="1160">
        <v>16</v>
      </c>
      <c r="I11" s="1160">
        <v>27</v>
      </c>
      <c r="J11" s="1160">
        <v>3</v>
      </c>
      <c r="K11" s="1160">
        <v>2</v>
      </c>
      <c r="L11" s="909"/>
      <c r="M11" s="871">
        <f t="shared" si="0"/>
        <v>551</v>
      </c>
      <c r="N11" s="910">
        <f t="shared" ref="N11:N16" si="3">SUM(G11:L11)</f>
        <v>59</v>
      </c>
      <c r="O11" s="912" t="s">
        <v>204</v>
      </c>
      <c r="P11" s="911" t="str">
        <f>IF(O11="yes","G","")</f>
        <v/>
      </c>
      <c r="Q11" s="749"/>
      <c r="R11" s="3"/>
      <c r="S11" s="3"/>
      <c r="T11" s="3"/>
      <c r="U11" s="3"/>
      <c r="V11" s="3"/>
      <c r="W11" s="3"/>
    </row>
    <row r="12" spans="1:23" ht="15.75" x14ac:dyDescent="0.25">
      <c r="A12" s="25" t="s">
        <v>43</v>
      </c>
      <c r="B12" s="26">
        <v>1764</v>
      </c>
      <c r="C12" s="61" t="s">
        <v>253</v>
      </c>
      <c r="D12" s="27" t="s">
        <v>12</v>
      </c>
      <c r="E12" s="908" t="s">
        <v>4</v>
      </c>
      <c r="F12" s="29"/>
      <c r="G12" s="1161">
        <v>11</v>
      </c>
      <c r="H12" s="1161">
        <v>14</v>
      </c>
      <c r="I12" s="1161">
        <v>27</v>
      </c>
      <c r="J12" s="1161">
        <v>5</v>
      </c>
      <c r="K12" s="1161">
        <v>3</v>
      </c>
      <c r="L12" s="1385"/>
      <c r="M12" s="106">
        <f t="shared" ref="M12" si="4">(G12*10)+(H12*10)+(I12*9)+(J12*8)+(K12*7)</f>
        <v>554</v>
      </c>
      <c r="N12" s="605">
        <f t="shared" si="3"/>
        <v>60</v>
      </c>
      <c r="O12" s="607" t="s">
        <v>204</v>
      </c>
      <c r="P12" s="540"/>
      <c r="Q12" s="742"/>
      <c r="R12" s="3"/>
      <c r="S12" s="3"/>
      <c r="T12" s="3"/>
      <c r="U12" s="3"/>
      <c r="V12" s="3"/>
      <c r="W12" s="3"/>
    </row>
    <row r="13" spans="1:23" ht="16.5" thickBot="1" x14ac:dyDescent="0.3">
      <c r="A13" s="25" t="s">
        <v>43</v>
      </c>
      <c r="B13" s="36">
        <v>1412</v>
      </c>
      <c r="C13" s="37" t="s">
        <v>167</v>
      </c>
      <c r="D13" s="38" t="s">
        <v>10</v>
      </c>
      <c r="E13" s="39" t="s">
        <v>4</v>
      </c>
      <c r="F13" s="40" t="e">
        <f t="shared" ref="F13:F18" si="5">VLOOKUP(E13,$X$9:$X$10,2,FALSE)</f>
        <v>#N/A</v>
      </c>
      <c r="G13" s="1162">
        <v>8</v>
      </c>
      <c r="H13" s="1162">
        <v>7</v>
      </c>
      <c r="I13" s="1162">
        <v>27</v>
      </c>
      <c r="J13" s="1162">
        <v>15</v>
      </c>
      <c r="K13" s="1162">
        <v>1</v>
      </c>
      <c r="L13" s="1162">
        <v>2</v>
      </c>
      <c r="M13" s="554">
        <f t="shared" ref="M13" si="6">(G13*10)+(H13*10)+(I13*9)+(J13*8)+(K13*7)</f>
        <v>520</v>
      </c>
      <c r="N13" s="746">
        <f t="shared" si="3"/>
        <v>60</v>
      </c>
      <c r="O13" s="751" t="str">
        <f>IF(M13&gt;574,"Yes","NO")</f>
        <v>NO</v>
      </c>
      <c r="P13" s="750" t="str">
        <f>IF(O13="yes","M","")</f>
        <v/>
      </c>
      <c r="Q13" s="62"/>
      <c r="R13" s="3"/>
      <c r="S13" s="3"/>
      <c r="T13" s="3"/>
      <c r="U13" s="3"/>
      <c r="V13" s="3"/>
      <c r="W13" s="3"/>
    </row>
    <row r="14" spans="1:23" ht="15.75" x14ac:dyDescent="0.25">
      <c r="A14" s="25" t="s">
        <v>43</v>
      </c>
      <c r="B14" s="26">
        <v>638</v>
      </c>
      <c r="C14" s="61" t="s">
        <v>199</v>
      </c>
      <c r="D14" s="27" t="s">
        <v>12</v>
      </c>
      <c r="E14" s="28" t="s">
        <v>6</v>
      </c>
      <c r="F14" s="29" t="e">
        <f t="shared" si="5"/>
        <v>#N/A</v>
      </c>
      <c r="G14" s="30">
        <v>11</v>
      </c>
      <c r="H14" s="30">
        <v>11</v>
      </c>
      <c r="I14" s="30">
        <v>26</v>
      </c>
      <c r="J14" s="30">
        <v>9</v>
      </c>
      <c r="K14" s="30">
        <v>3</v>
      </c>
      <c r="L14" s="1385"/>
      <c r="M14" s="106">
        <f>(G14*10)+(H14*10)+(I14*9)+(J14*8)+(K14*7)</f>
        <v>547</v>
      </c>
      <c r="N14" s="605">
        <f t="shared" si="3"/>
        <v>60</v>
      </c>
      <c r="O14" s="607" t="str">
        <f>IF(M14&gt;574,"Yes","NO")</f>
        <v>NO</v>
      </c>
      <c r="P14" s="540"/>
      <c r="Q14" s="742"/>
      <c r="R14" s="3"/>
      <c r="S14" s="3"/>
      <c r="T14" s="3"/>
      <c r="U14" s="3"/>
      <c r="V14" s="3"/>
      <c r="W14" s="3"/>
    </row>
    <row r="15" spans="1:23" ht="15.75" x14ac:dyDescent="0.25">
      <c r="A15" s="25" t="s">
        <v>43</v>
      </c>
      <c r="B15" s="45">
        <v>1477</v>
      </c>
      <c r="C15" s="71" t="s">
        <v>200</v>
      </c>
      <c r="D15" s="46" t="s">
        <v>12</v>
      </c>
      <c r="E15" s="47" t="s">
        <v>6</v>
      </c>
      <c r="F15" s="48" t="e">
        <f t="shared" si="5"/>
        <v>#N/A</v>
      </c>
      <c r="G15" s="49">
        <v>6</v>
      </c>
      <c r="H15" s="49">
        <v>17</v>
      </c>
      <c r="I15" s="49">
        <v>20</v>
      </c>
      <c r="J15" s="49">
        <v>12</v>
      </c>
      <c r="K15" s="49">
        <v>4</v>
      </c>
      <c r="L15" s="107">
        <v>1</v>
      </c>
      <c r="M15" s="115">
        <f>(G15*10)+(H15*10)+(I15*9)+(J15*8)+(K15*7)</f>
        <v>534</v>
      </c>
      <c r="N15" s="506">
        <f t="shared" si="3"/>
        <v>60</v>
      </c>
      <c r="O15" s="834" t="str">
        <f t="shared" ref="O15" si="7">IF(M15&gt;549,"Yes","NO")</f>
        <v>NO</v>
      </c>
      <c r="P15" s="104" t="str">
        <f t="shared" ref="P15" si="8">IF(O15="yes","HM","")</f>
        <v/>
      </c>
      <c r="Q15" s="53" t="str">
        <f t="shared" si="2"/>
        <v xml:space="preserve"> </v>
      </c>
      <c r="R15" s="3"/>
      <c r="S15" s="3"/>
      <c r="T15" s="3"/>
      <c r="U15" s="3"/>
      <c r="V15" s="3"/>
      <c r="W15" s="3"/>
    </row>
    <row r="16" spans="1:23" ht="16.5" thickBot="1" x14ac:dyDescent="0.3">
      <c r="A16" s="25" t="s">
        <v>43</v>
      </c>
      <c r="B16" s="571">
        <v>309</v>
      </c>
      <c r="C16" s="86" t="s">
        <v>235</v>
      </c>
      <c r="D16" s="870" t="s">
        <v>10</v>
      </c>
      <c r="E16" s="87" t="s">
        <v>6</v>
      </c>
      <c r="F16" s="88" t="e">
        <f t="shared" si="5"/>
        <v>#N/A</v>
      </c>
      <c r="G16" s="1160">
        <v>9</v>
      </c>
      <c r="H16" s="1160">
        <v>13</v>
      </c>
      <c r="I16" s="1160">
        <v>20</v>
      </c>
      <c r="J16" s="1160">
        <v>9</v>
      </c>
      <c r="K16" s="1160">
        <v>5</v>
      </c>
      <c r="L16" s="1160">
        <v>4</v>
      </c>
      <c r="M16" s="871">
        <f>(G16*10)+(H16*10)+(I16*9)+(J16*8)+(K16*7)</f>
        <v>507</v>
      </c>
      <c r="N16" s="910">
        <f t="shared" si="3"/>
        <v>60</v>
      </c>
      <c r="O16" s="912" t="str">
        <f>IF(M16&gt;509,"Yes","NO")</f>
        <v>NO</v>
      </c>
      <c r="P16" s="911"/>
      <c r="Q16" s="749"/>
      <c r="R16" s="3"/>
      <c r="S16" s="3"/>
      <c r="T16" s="3"/>
      <c r="U16" s="3"/>
      <c r="V16" s="3"/>
      <c r="W16" s="3"/>
    </row>
    <row r="17" spans="1:25" ht="15.75" x14ac:dyDescent="0.25">
      <c r="A17" s="25" t="s">
        <v>43</v>
      </c>
      <c r="B17" s="36">
        <v>1982</v>
      </c>
      <c r="C17" s="37" t="s">
        <v>214</v>
      </c>
      <c r="D17" s="38" t="s">
        <v>12</v>
      </c>
      <c r="E17" s="39" t="s">
        <v>5</v>
      </c>
      <c r="F17" s="40" t="e">
        <f t="shared" si="5"/>
        <v>#N/A</v>
      </c>
      <c r="G17" s="41">
        <v>11</v>
      </c>
      <c r="H17" s="41">
        <v>10</v>
      </c>
      <c r="I17" s="41">
        <v>16</v>
      </c>
      <c r="J17" s="41">
        <v>13</v>
      </c>
      <c r="K17" s="41">
        <v>2</v>
      </c>
      <c r="L17" s="1158">
        <v>8</v>
      </c>
      <c r="M17" s="554">
        <f t="shared" ref="M17:M18" si="9">(G17*10)+(H17*10)+(I17*9)+(J17*8)+(K17*7)</f>
        <v>472</v>
      </c>
      <c r="N17" s="776">
        <f t="shared" ref="N17" si="10">SUM(G17:L17)</f>
        <v>60</v>
      </c>
      <c r="O17" s="831" t="str">
        <f t="shared" ref="O17" si="11">IF(M17&gt;509,"Yes","NO")</f>
        <v>NO</v>
      </c>
      <c r="P17" s="832"/>
      <c r="Q17" s="577"/>
      <c r="R17" s="3"/>
      <c r="S17" s="3"/>
      <c r="T17" s="3"/>
      <c r="U17" s="3"/>
      <c r="V17" s="3"/>
      <c r="W17" s="3"/>
    </row>
    <row r="18" spans="1:25" ht="16.5" thickBot="1" x14ac:dyDescent="0.3">
      <c r="A18" s="25" t="s">
        <v>43</v>
      </c>
      <c r="B18" s="571">
        <v>1615</v>
      </c>
      <c r="C18" s="86" t="s">
        <v>185</v>
      </c>
      <c r="D18" s="870" t="s">
        <v>12</v>
      </c>
      <c r="E18" s="87" t="s">
        <v>5</v>
      </c>
      <c r="F18" s="88" t="e">
        <f t="shared" si="5"/>
        <v>#N/A</v>
      </c>
      <c r="G18" s="108">
        <v>5</v>
      </c>
      <c r="H18" s="108">
        <v>5</v>
      </c>
      <c r="I18" s="108">
        <v>14</v>
      </c>
      <c r="J18" s="108">
        <v>7</v>
      </c>
      <c r="K18" s="108">
        <v>8</v>
      </c>
      <c r="L18" s="909">
        <v>21</v>
      </c>
      <c r="M18" s="871">
        <f t="shared" si="9"/>
        <v>338</v>
      </c>
      <c r="N18" s="606">
        <f t="shared" ref="N18" si="12">SUM(G18:L18)</f>
        <v>60</v>
      </c>
      <c r="O18" s="608" t="str">
        <f t="shared" ref="O18" si="13">IF(M18&gt;509,"Yes","NO")</f>
        <v>NO</v>
      </c>
      <c r="P18" s="911"/>
      <c r="Q18" s="749"/>
      <c r="R18" s="3"/>
      <c r="S18" s="3"/>
      <c r="T18" s="3"/>
      <c r="U18" s="3"/>
      <c r="V18" s="3"/>
      <c r="W18" s="3"/>
    </row>
    <row r="19" spans="1:25" ht="19.5" thickBot="1" x14ac:dyDescent="0.3">
      <c r="A19" s="3"/>
      <c r="B19" s="77">
        <f>COUNT(B6:B18)</f>
        <v>12</v>
      </c>
      <c r="C19" s="1613" t="s">
        <v>34</v>
      </c>
      <c r="D19" s="1614"/>
      <c r="E19" s="1593" t="s">
        <v>51</v>
      </c>
      <c r="F19" s="1594"/>
      <c r="G19" s="1594"/>
      <c r="H19" s="1594"/>
      <c r="I19" s="1594"/>
      <c r="J19" s="1594"/>
      <c r="K19" s="1594"/>
      <c r="L19" s="1594"/>
      <c r="M19" s="1594"/>
      <c r="N19" s="1594"/>
      <c r="O19" s="1594"/>
      <c r="P19" s="1600"/>
      <c r="Q19" s="3"/>
      <c r="R19" s="3"/>
      <c r="S19" s="3"/>
      <c r="T19" s="3"/>
      <c r="U19" s="3"/>
      <c r="V19" s="3"/>
      <c r="W19" s="3"/>
    </row>
    <row r="20" spans="1:25" s="612" customFormat="1" ht="18.75" x14ac:dyDescent="0.25">
      <c r="A20" s="609"/>
      <c r="B20" s="610"/>
      <c r="C20" s="611"/>
      <c r="D20" s="611"/>
      <c r="E20" s="611"/>
      <c r="F20" s="611"/>
      <c r="G20" s="611"/>
      <c r="H20" s="611"/>
      <c r="I20" s="611"/>
      <c r="J20" s="611"/>
      <c r="K20" s="611"/>
      <c r="L20" s="611"/>
      <c r="M20" s="611"/>
      <c r="N20" s="611"/>
      <c r="O20" s="611"/>
      <c r="P20" s="611"/>
      <c r="Q20" s="609"/>
      <c r="R20" s="609"/>
      <c r="S20" s="609"/>
      <c r="T20" s="609"/>
      <c r="U20" s="609"/>
      <c r="V20" s="609"/>
      <c r="W20" s="609"/>
    </row>
    <row r="21" spans="1:25" ht="15.75" thickBot="1" x14ac:dyDescent="0.3"/>
    <row r="22" spans="1:25" ht="27.75" customHeight="1" thickBot="1" x14ac:dyDescent="0.3">
      <c r="A22" s="3"/>
      <c r="B22" s="1601" t="s">
        <v>52</v>
      </c>
      <c r="C22" s="1602"/>
      <c r="D22" s="1602"/>
      <c r="E22" s="1602"/>
      <c r="F22" s="1602"/>
      <c r="G22" s="1602"/>
      <c r="H22" s="1602"/>
      <c r="I22" s="1602"/>
      <c r="J22" s="1602"/>
      <c r="K22" s="1602"/>
      <c r="L22" s="1602"/>
      <c r="M22" s="1602"/>
      <c r="N22" s="1602"/>
      <c r="O22" s="1602"/>
      <c r="P22" s="1602"/>
      <c r="Q22" s="1603"/>
      <c r="R22" s="3"/>
      <c r="S22" s="3"/>
      <c r="T22" s="3"/>
      <c r="U22" s="3"/>
      <c r="V22" s="3"/>
      <c r="W22" s="3"/>
    </row>
    <row r="23" spans="1:25" ht="32.25" thickBot="1" x14ac:dyDescent="0.3">
      <c r="A23" s="3"/>
      <c r="B23" s="126" t="s">
        <v>157</v>
      </c>
      <c r="C23" s="68" t="s">
        <v>18</v>
      </c>
      <c r="D23" s="556" t="s">
        <v>19</v>
      </c>
      <c r="E23" s="269" t="s">
        <v>20</v>
      </c>
      <c r="F23" s="557"/>
      <c r="G23" s="470" t="s">
        <v>21</v>
      </c>
      <c r="H23" s="470">
        <v>10</v>
      </c>
      <c r="I23" s="470">
        <v>9</v>
      </c>
      <c r="J23" s="470">
        <v>8</v>
      </c>
      <c r="K23" s="514">
        <v>7</v>
      </c>
      <c r="L23" s="558">
        <v>0</v>
      </c>
      <c r="M23" s="497" t="s">
        <v>22</v>
      </c>
      <c r="N23" s="98" t="s">
        <v>42</v>
      </c>
      <c r="O23" s="123" t="s">
        <v>24</v>
      </c>
      <c r="P23" s="126" t="s">
        <v>25</v>
      </c>
      <c r="Q23" s="82" t="s">
        <v>26</v>
      </c>
      <c r="R23" s="3"/>
      <c r="S23" s="3"/>
      <c r="T23" s="3"/>
      <c r="U23" s="3"/>
      <c r="V23" s="3"/>
      <c r="W23" s="3"/>
    </row>
    <row r="24" spans="1:25" ht="15.75" x14ac:dyDescent="0.25">
      <c r="A24" s="25" t="s">
        <v>53</v>
      </c>
      <c r="B24" s="95">
        <v>786</v>
      </c>
      <c r="C24" s="542" t="s">
        <v>29</v>
      </c>
      <c r="D24" s="96" t="s">
        <v>10</v>
      </c>
      <c r="E24" s="83" t="s">
        <v>3</v>
      </c>
      <c r="F24" s="80"/>
      <c r="G24" s="30">
        <v>28</v>
      </c>
      <c r="H24" s="30">
        <v>17</v>
      </c>
      <c r="I24" s="30">
        <v>13</v>
      </c>
      <c r="J24" s="30">
        <v>1</v>
      </c>
      <c r="K24" s="30">
        <v>1</v>
      </c>
      <c r="L24" s="1436"/>
      <c r="M24" s="830">
        <f t="shared" ref="M24:M29" si="14">(G24*10)+(H24*10)+(I24*9)+(J24*8)+(K24*7)</f>
        <v>582</v>
      </c>
      <c r="N24" s="94">
        <f>SUM(G24:L24)</f>
        <v>60</v>
      </c>
      <c r="O24" s="1437" t="str">
        <f t="shared" ref="O24:O26" si="15">IF(M24&gt;589,"Yes","NO")</f>
        <v>NO</v>
      </c>
      <c r="P24" s="1433" t="str">
        <f>IF(O24="yes","HM","")</f>
        <v/>
      </c>
      <c r="Q24" s="35" t="str">
        <f>IF(M24=0," ",IF(N24&lt;&gt;60,"ERROR!"," "))</f>
        <v xml:space="preserve"> </v>
      </c>
      <c r="R24" s="3"/>
      <c r="S24" s="3"/>
      <c r="T24" s="3"/>
      <c r="U24" s="1159"/>
      <c r="V24" s="1159"/>
      <c r="W24" s="1159"/>
      <c r="X24" s="1159"/>
      <c r="Y24" s="1159"/>
    </row>
    <row r="25" spans="1:25" ht="15.75" x14ac:dyDescent="0.25">
      <c r="A25" s="25" t="s">
        <v>53</v>
      </c>
      <c r="B25" s="45">
        <v>1786</v>
      </c>
      <c r="C25" s="71" t="s">
        <v>28</v>
      </c>
      <c r="D25" s="46" t="s">
        <v>12</v>
      </c>
      <c r="E25" s="47" t="s">
        <v>3</v>
      </c>
      <c r="F25" s="48">
        <v>4</v>
      </c>
      <c r="G25" s="49">
        <v>15</v>
      </c>
      <c r="H25" s="49">
        <v>25</v>
      </c>
      <c r="I25" s="49">
        <v>16</v>
      </c>
      <c r="J25" s="49">
        <v>4</v>
      </c>
      <c r="K25" s="49"/>
      <c r="L25" s="1084"/>
      <c r="M25" s="924">
        <f t="shared" si="14"/>
        <v>576</v>
      </c>
      <c r="N25" s="103">
        <f>SUM(G25:L25)</f>
        <v>60</v>
      </c>
      <c r="O25" s="1438" t="str">
        <f t="shared" si="15"/>
        <v>NO</v>
      </c>
      <c r="P25" s="1434"/>
      <c r="Q25" s="577"/>
      <c r="R25" s="3"/>
      <c r="S25" s="3"/>
      <c r="T25" s="3"/>
      <c r="U25" s="1116"/>
      <c r="V25" s="1116"/>
      <c r="W25" s="1116"/>
      <c r="X25" s="1116"/>
      <c r="Y25" s="1116"/>
    </row>
    <row r="26" spans="1:25" ht="15.75" x14ac:dyDescent="0.25">
      <c r="A26" s="25" t="s">
        <v>53</v>
      </c>
      <c r="B26" s="45">
        <v>1475</v>
      </c>
      <c r="C26" s="71" t="s">
        <v>30</v>
      </c>
      <c r="D26" s="46" t="s">
        <v>10</v>
      </c>
      <c r="E26" s="47" t="s">
        <v>3</v>
      </c>
      <c r="F26" s="48" t="e">
        <f>VLOOKUP(E26,$X$9:$X$13,2,FALSE)</f>
        <v>#N/A</v>
      </c>
      <c r="G26" s="49">
        <v>28</v>
      </c>
      <c r="H26" s="49">
        <v>12</v>
      </c>
      <c r="I26" s="49">
        <v>15</v>
      </c>
      <c r="J26" s="49">
        <v>5</v>
      </c>
      <c r="K26" s="49"/>
      <c r="L26" s="1084"/>
      <c r="M26" s="924">
        <f t="shared" si="14"/>
        <v>575</v>
      </c>
      <c r="N26" s="103">
        <f>SUM(G26:L26)</f>
        <v>60</v>
      </c>
      <c r="O26" s="1438" t="str">
        <f t="shared" si="15"/>
        <v>NO</v>
      </c>
      <c r="P26" s="1434"/>
      <c r="Q26" s="577"/>
      <c r="R26" s="3"/>
      <c r="S26" s="3"/>
      <c r="T26" s="3"/>
      <c r="U26" s="1159"/>
      <c r="V26" s="1159"/>
      <c r="W26" s="1159"/>
      <c r="X26" s="1159"/>
      <c r="Y26" s="1068"/>
    </row>
    <row r="27" spans="1:25" ht="16.5" thickBot="1" x14ac:dyDescent="0.3">
      <c r="A27" s="25" t="s">
        <v>53</v>
      </c>
      <c r="B27" s="1439">
        <v>169</v>
      </c>
      <c r="C27" s="109" t="s">
        <v>170</v>
      </c>
      <c r="D27" s="1440" t="s">
        <v>7</v>
      </c>
      <c r="E27" s="56" t="s">
        <v>3</v>
      </c>
      <c r="F27" s="1441"/>
      <c r="G27" s="1442">
        <v>21</v>
      </c>
      <c r="H27" s="1442">
        <v>16</v>
      </c>
      <c r="I27" s="1442">
        <v>17</v>
      </c>
      <c r="J27" s="1442">
        <v>5</v>
      </c>
      <c r="K27" s="1442">
        <v>1</v>
      </c>
      <c r="L27" s="1443"/>
      <c r="M27" s="929">
        <f t="shared" si="14"/>
        <v>570</v>
      </c>
      <c r="N27" s="931">
        <f t="shared" ref="N27" si="16">SUM(G27:L27)</f>
        <v>60</v>
      </c>
      <c r="O27" s="1444" t="str">
        <f t="shared" ref="O27" si="17">IF(M27&gt;589,"Yes","NO")</f>
        <v>NO</v>
      </c>
      <c r="P27" s="1435" t="str">
        <f t="shared" ref="P27" si="18">IF(O27="yes","HM","")</f>
        <v/>
      </c>
      <c r="Q27" s="555" t="str">
        <f t="shared" ref="Q27" si="19">IF(M27=0," ",IF(N27&lt;&gt;60,"ERROR!"," "))</f>
        <v xml:space="preserve"> </v>
      </c>
      <c r="R27" s="3"/>
      <c r="S27" s="3"/>
      <c r="T27" s="3"/>
    </row>
    <row r="28" spans="1:25" ht="15.75" x14ac:dyDescent="0.25">
      <c r="A28" s="25" t="s">
        <v>53</v>
      </c>
      <c r="B28" s="36">
        <v>1798</v>
      </c>
      <c r="C28" s="37" t="s">
        <v>60</v>
      </c>
      <c r="D28" s="38" t="s">
        <v>7</v>
      </c>
      <c r="E28" s="39" t="s">
        <v>4</v>
      </c>
      <c r="F28" s="40" t="e">
        <f>VLOOKUP(E28,$X$9:$X$13,2,FALSE)</f>
        <v>#N/A</v>
      </c>
      <c r="G28" s="41">
        <v>18</v>
      </c>
      <c r="H28" s="41">
        <v>15</v>
      </c>
      <c r="I28" s="41">
        <v>23</v>
      </c>
      <c r="J28" s="41">
        <v>4</v>
      </c>
      <c r="K28" s="41"/>
      <c r="L28" s="1158"/>
      <c r="M28" s="928">
        <f t="shared" si="14"/>
        <v>569</v>
      </c>
      <c r="N28" s="930">
        <f>SUM(G28:L28)</f>
        <v>60</v>
      </c>
      <c r="O28" s="134" t="str">
        <f t="shared" ref="O28:O29" si="20">IF(M28&gt;574,"Yes","NO")</f>
        <v>NO</v>
      </c>
      <c r="P28" s="540"/>
      <c r="Q28" s="62"/>
      <c r="R28" s="3"/>
      <c r="S28" s="3"/>
      <c r="T28" s="3"/>
    </row>
    <row r="29" spans="1:25" ht="16.5" thickBot="1" x14ac:dyDescent="0.3">
      <c r="A29" s="25" t="s">
        <v>53</v>
      </c>
      <c r="B29" s="45">
        <v>1477</v>
      </c>
      <c r="C29" s="71" t="s">
        <v>200</v>
      </c>
      <c r="D29" s="46" t="s">
        <v>12</v>
      </c>
      <c r="E29" s="47" t="s">
        <v>4</v>
      </c>
      <c r="F29" s="48" t="e">
        <f>VLOOKUP(E29,$X$9:$X$13,2,FALSE)</f>
        <v>#N/A</v>
      </c>
      <c r="G29" s="49">
        <v>7</v>
      </c>
      <c r="H29" s="49">
        <v>21</v>
      </c>
      <c r="I29" s="49">
        <v>21</v>
      </c>
      <c r="J29" s="49">
        <v>8</v>
      </c>
      <c r="K29" s="49">
        <v>3</v>
      </c>
      <c r="L29" s="1084"/>
      <c r="M29" s="924">
        <f t="shared" si="14"/>
        <v>554</v>
      </c>
      <c r="N29" s="103">
        <f t="shared" ref="N29:N30" si="21">SUM(G29:L29)</f>
        <v>60</v>
      </c>
      <c r="O29" s="114" t="str">
        <f t="shared" si="20"/>
        <v>NO</v>
      </c>
      <c r="P29" s="921" t="str">
        <f t="shared" ref="P29" si="22">IF(O29="yes","M","")</f>
        <v/>
      </c>
      <c r="Q29" s="53"/>
      <c r="R29" s="3"/>
      <c r="S29" s="3"/>
      <c r="T29" s="3"/>
      <c r="U29" s="3"/>
      <c r="V29" s="3"/>
      <c r="W29" s="3"/>
    </row>
    <row r="30" spans="1:25" ht="15.75" x14ac:dyDescent="0.25">
      <c r="A30" s="25" t="s">
        <v>53</v>
      </c>
      <c r="B30" s="95">
        <v>1901</v>
      </c>
      <c r="C30" s="542" t="s">
        <v>38</v>
      </c>
      <c r="D30" s="96" t="s">
        <v>11</v>
      </c>
      <c r="E30" s="1076" t="s">
        <v>6</v>
      </c>
      <c r="F30" s="80" t="e">
        <f>VLOOKUP(E30,$X$9:$X$13,2,FALSE)</f>
        <v>#N/A</v>
      </c>
      <c r="G30" s="1389">
        <v>12</v>
      </c>
      <c r="H30" s="1389">
        <v>14</v>
      </c>
      <c r="I30" s="1389">
        <v>22</v>
      </c>
      <c r="J30" s="1389">
        <v>10</v>
      </c>
      <c r="K30" s="1389">
        <v>2</v>
      </c>
      <c r="L30" s="1393"/>
      <c r="M30" s="925">
        <f t="shared" ref="M30:M37" si="23">(G30*10)+(H30*10)+(I30*9)+(J30*8)+(K30*7)</f>
        <v>552</v>
      </c>
      <c r="N30" s="99">
        <f t="shared" si="21"/>
        <v>60</v>
      </c>
      <c r="O30" s="872" t="str">
        <f>IF(M30&gt;549,"Yes","NO")</f>
        <v>Yes</v>
      </c>
      <c r="P30" s="106" t="str">
        <f>IF(O30="yes","G","")</f>
        <v>G</v>
      </c>
      <c r="Q30" s="613"/>
      <c r="R30" s="3"/>
      <c r="S30" s="3"/>
      <c r="T30" s="3"/>
      <c r="U30" s="3"/>
      <c r="V30" s="3"/>
      <c r="W30" s="3"/>
    </row>
    <row r="31" spans="1:25" ht="15.75" x14ac:dyDescent="0.25">
      <c r="A31" s="25" t="s">
        <v>53</v>
      </c>
      <c r="B31" s="45">
        <v>2035</v>
      </c>
      <c r="C31" s="71" t="s">
        <v>222</v>
      </c>
      <c r="D31" s="46" t="s">
        <v>11</v>
      </c>
      <c r="E31" s="47" t="s">
        <v>6</v>
      </c>
      <c r="F31" s="48"/>
      <c r="G31" s="1164">
        <v>8</v>
      </c>
      <c r="H31" s="1164">
        <v>18</v>
      </c>
      <c r="I31" s="1164">
        <v>23</v>
      </c>
      <c r="J31" s="1164">
        <v>4</v>
      </c>
      <c r="K31" s="1164">
        <v>6</v>
      </c>
      <c r="L31" s="1394">
        <v>1</v>
      </c>
      <c r="M31" s="924">
        <f t="shared" si="23"/>
        <v>541</v>
      </c>
      <c r="N31" s="103">
        <f>SUM(G31:L31)</f>
        <v>60</v>
      </c>
      <c r="O31" s="114" t="str">
        <f t="shared" ref="O31" si="24">IF(M31&gt;549,"Yes","NO")</f>
        <v>NO</v>
      </c>
      <c r="P31" s="115"/>
      <c r="Q31" s="112"/>
      <c r="R31" s="3"/>
      <c r="S31" s="3"/>
      <c r="T31" s="3"/>
      <c r="U31" s="3"/>
      <c r="V31" s="3"/>
      <c r="W31" s="3"/>
    </row>
    <row r="32" spans="1:25" ht="15.75" x14ac:dyDescent="0.25">
      <c r="A32" s="25" t="s">
        <v>53</v>
      </c>
      <c r="B32" s="45">
        <v>638</v>
      </c>
      <c r="C32" s="71" t="s">
        <v>40</v>
      </c>
      <c r="D32" s="46" t="s">
        <v>11</v>
      </c>
      <c r="E32" s="39" t="s">
        <v>6</v>
      </c>
      <c r="F32" s="40"/>
      <c r="G32" s="1163">
        <v>8</v>
      </c>
      <c r="H32" s="1163">
        <v>12</v>
      </c>
      <c r="I32" s="1163">
        <v>23</v>
      </c>
      <c r="J32" s="1163">
        <v>12</v>
      </c>
      <c r="K32" s="1163">
        <v>4</v>
      </c>
      <c r="L32" s="1395">
        <v>1</v>
      </c>
      <c r="M32" s="924">
        <f t="shared" si="23"/>
        <v>531</v>
      </c>
      <c r="N32" s="103">
        <f>SUM(G32:L32)</f>
        <v>60</v>
      </c>
      <c r="O32" s="114" t="str">
        <f t="shared" ref="O32" si="25">IF(M32&gt;549,"Yes","NO")</f>
        <v>NO</v>
      </c>
      <c r="P32" s="115"/>
      <c r="Q32" s="112"/>
      <c r="R32" s="3"/>
      <c r="S32" s="3"/>
      <c r="T32" s="3"/>
      <c r="U32" s="3"/>
      <c r="V32" s="3"/>
      <c r="W32" s="3"/>
    </row>
    <row r="33" spans="1:23" ht="15.75" x14ac:dyDescent="0.25">
      <c r="A33" s="25" t="s">
        <v>53</v>
      </c>
      <c r="B33" s="45">
        <v>1764</v>
      </c>
      <c r="C33" s="71" t="s">
        <v>47</v>
      </c>
      <c r="D33" s="46" t="s">
        <v>12</v>
      </c>
      <c r="E33" s="39" t="s">
        <v>6</v>
      </c>
      <c r="F33" s="40"/>
      <c r="G33" s="1163">
        <v>12</v>
      </c>
      <c r="H33" s="1163">
        <v>13</v>
      </c>
      <c r="I33" s="1163">
        <v>16</v>
      </c>
      <c r="J33" s="1163">
        <v>12</v>
      </c>
      <c r="K33" s="1163">
        <v>5</v>
      </c>
      <c r="L33" s="1395">
        <v>2</v>
      </c>
      <c r="M33" s="924">
        <f t="shared" si="23"/>
        <v>525</v>
      </c>
      <c r="N33" s="103">
        <f t="shared" ref="N33:N35" si="26">SUM(G33:L33)</f>
        <v>60</v>
      </c>
      <c r="O33" s="114" t="str">
        <f t="shared" ref="O33:O35" si="27">IF(M33&gt;549,"Yes","NO")</f>
        <v>NO</v>
      </c>
      <c r="P33" s="115"/>
      <c r="Q33" s="112"/>
      <c r="R33" s="3"/>
      <c r="S33" s="3"/>
      <c r="T33" s="3"/>
      <c r="U33" s="3"/>
      <c r="V33" s="3"/>
      <c r="W33" s="3"/>
    </row>
    <row r="34" spans="1:23" ht="15.75" x14ac:dyDescent="0.25">
      <c r="A34" s="25" t="s">
        <v>53</v>
      </c>
      <c r="B34" s="45">
        <v>1268</v>
      </c>
      <c r="C34" s="71" t="s">
        <v>168</v>
      </c>
      <c r="D34" s="46" t="s">
        <v>8</v>
      </c>
      <c r="E34" s="39" t="s">
        <v>6</v>
      </c>
      <c r="F34" s="40"/>
      <c r="G34" s="1163">
        <v>11</v>
      </c>
      <c r="H34" s="1163">
        <v>18</v>
      </c>
      <c r="I34" s="1163">
        <v>17</v>
      </c>
      <c r="J34" s="1163">
        <v>7</v>
      </c>
      <c r="K34" s="1163">
        <v>3</v>
      </c>
      <c r="L34" s="1395">
        <v>4</v>
      </c>
      <c r="M34" s="924">
        <f t="shared" si="23"/>
        <v>520</v>
      </c>
      <c r="N34" s="103">
        <f t="shared" si="26"/>
        <v>60</v>
      </c>
      <c r="O34" s="114" t="str">
        <f t="shared" si="27"/>
        <v>NO</v>
      </c>
      <c r="P34" s="115"/>
      <c r="Q34" s="112"/>
      <c r="R34" s="3"/>
      <c r="S34" s="3"/>
      <c r="T34" s="3"/>
      <c r="U34" s="3"/>
      <c r="V34" s="3"/>
      <c r="W34" s="3"/>
    </row>
    <row r="35" spans="1:23" ht="15.75" x14ac:dyDescent="0.25">
      <c r="A35" s="25" t="s">
        <v>53</v>
      </c>
      <c r="B35" s="45">
        <v>1982</v>
      </c>
      <c r="C35" s="71" t="s">
        <v>214</v>
      </c>
      <c r="D35" s="46" t="s">
        <v>12</v>
      </c>
      <c r="E35" s="39" t="s">
        <v>6</v>
      </c>
      <c r="F35" s="40" t="e">
        <f>VLOOKUP(E35,$X$9:$X$13,2,FALSE)</f>
        <v>#N/A</v>
      </c>
      <c r="G35" s="1390">
        <v>10</v>
      </c>
      <c r="H35" s="1390">
        <v>11</v>
      </c>
      <c r="I35" s="1390">
        <v>15</v>
      </c>
      <c r="J35" s="1390">
        <v>15</v>
      </c>
      <c r="K35" s="1390">
        <v>7</v>
      </c>
      <c r="L35" s="1395">
        <v>2</v>
      </c>
      <c r="M35" s="924">
        <f t="shared" si="23"/>
        <v>514</v>
      </c>
      <c r="N35" s="103">
        <f t="shared" si="26"/>
        <v>60</v>
      </c>
      <c r="O35" s="114" t="str">
        <f t="shared" si="27"/>
        <v>NO</v>
      </c>
      <c r="P35" s="115"/>
      <c r="Q35" s="112"/>
      <c r="R35" s="3"/>
      <c r="S35" s="3"/>
      <c r="T35" s="3"/>
      <c r="U35" s="3"/>
      <c r="V35" s="3"/>
      <c r="W35" s="3"/>
    </row>
    <row r="36" spans="1:23" ht="15.75" x14ac:dyDescent="0.25">
      <c r="A36" s="25" t="s">
        <v>53</v>
      </c>
      <c r="B36" s="45">
        <v>1264</v>
      </c>
      <c r="C36" s="71" t="s">
        <v>149</v>
      </c>
      <c r="D36" s="46" t="s">
        <v>7</v>
      </c>
      <c r="E36" s="39" t="s">
        <v>6</v>
      </c>
      <c r="F36" s="40"/>
      <c r="G36" s="1163">
        <v>8</v>
      </c>
      <c r="H36" s="1163">
        <v>15</v>
      </c>
      <c r="I36" s="1163">
        <v>24</v>
      </c>
      <c r="J36" s="1163">
        <v>6</v>
      </c>
      <c r="K36" s="1163">
        <v>2</v>
      </c>
      <c r="L36" s="1395">
        <v>5</v>
      </c>
      <c r="M36" s="924">
        <f t="shared" si="23"/>
        <v>508</v>
      </c>
      <c r="N36" s="103">
        <f>SUM(G36:L36)</f>
        <v>60</v>
      </c>
      <c r="O36" s="114" t="str">
        <f>IF(M36&gt;509,"Yes","NO")</f>
        <v>NO</v>
      </c>
      <c r="P36" s="115"/>
      <c r="Q36" s="112"/>
      <c r="R36" s="3"/>
      <c r="S36" s="3"/>
      <c r="T36" s="3"/>
      <c r="U36" s="3"/>
      <c r="V36" s="3"/>
      <c r="W36" s="3"/>
    </row>
    <row r="37" spans="1:23" ht="16.5" thickBot="1" x14ac:dyDescent="0.3">
      <c r="A37" s="25" t="s">
        <v>53</v>
      </c>
      <c r="B37" s="54">
        <v>638</v>
      </c>
      <c r="C37" s="105" t="s">
        <v>199</v>
      </c>
      <c r="D37" s="55" t="s">
        <v>12</v>
      </c>
      <c r="E37" s="56" t="s">
        <v>6</v>
      </c>
      <c r="F37" s="57" t="e">
        <f>VLOOKUP(E37,$X$9:$X$13,2,FALSE)</f>
        <v>#N/A</v>
      </c>
      <c r="G37" s="1391">
        <v>4</v>
      </c>
      <c r="H37" s="1391">
        <v>11</v>
      </c>
      <c r="I37" s="1391">
        <v>17</v>
      </c>
      <c r="J37" s="1391">
        <v>16</v>
      </c>
      <c r="K37" s="1392">
        <v>5</v>
      </c>
      <c r="L37" s="1396">
        <v>7</v>
      </c>
      <c r="M37" s="929">
        <f t="shared" si="23"/>
        <v>466</v>
      </c>
      <c r="N37" s="931">
        <f t="shared" ref="N37" si="28">SUM(G37:L37)</f>
        <v>60</v>
      </c>
      <c r="O37" s="114" t="str">
        <f t="shared" ref="O37" si="29">IF(M37&gt;549,"Yes","NO")</f>
        <v>NO</v>
      </c>
      <c r="P37" s="115" t="str">
        <f t="shared" ref="P37" si="30">IF(O37="yes","G","")</f>
        <v/>
      </c>
      <c r="Q37" s="112"/>
      <c r="R37" s="3"/>
      <c r="S37" s="3"/>
      <c r="T37" s="3"/>
      <c r="U37" s="3"/>
      <c r="V37" s="3"/>
      <c r="W37" s="3"/>
    </row>
    <row r="38" spans="1:23" ht="15.75" x14ac:dyDescent="0.25">
      <c r="A38" s="25" t="s">
        <v>53</v>
      </c>
      <c r="B38" s="36">
        <v>1624</v>
      </c>
      <c r="C38" s="37" t="s">
        <v>191</v>
      </c>
      <c r="D38" s="38" t="s">
        <v>12</v>
      </c>
      <c r="E38" s="39" t="s">
        <v>5</v>
      </c>
      <c r="F38" s="40"/>
      <c r="G38" s="41">
        <v>5</v>
      </c>
      <c r="H38" s="41">
        <v>9</v>
      </c>
      <c r="I38" s="41">
        <v>12</v>
      </c>
      <c r="J38" s="41">
        <v>22</v>
      </c>
      <c r="K38" s="41">
        <v>11</v>
      </c>
      <c r="L38" s="1065">
        <v>1</v>
      </c>
      <c r="M38" s="31">
        <f t="shared" ref="M38:M43" si="31">(G38*10)+(H38*10)+(I38*9)+(J38*8)+(K38*7)</f>
        <v>501</v>
      </c>
      <c r="N38" s="1063">
        <f t="shared" ref="N38:N43" si="32">SUM(G38:L38)</f>
        <v>60</v>
      </c>
      <c r="O38" s="134" t="str">
        <f t="shared" ref="O38:O43" si="33">IF(M38&gt;509,"Yes","NO")</f>
        <v>NO</v>
      </c>
      <c r="P38" s="554"/>
      <c r="Q38" s="555"/>
      <c r="R38" s="3"/>
      <c r="S38" s="3"/>
      <c r="T38" s="3"/>
      <c r="U38" s="3"/>
      <c r="V38" s="3"/>
      <c r="W38" s="3"/>
    </row>
    <row r="39" spans="1:23" ht="15.75" x14ac:dyDescent="0.25">
      <c r="A39" s="25" t="s">
        <v>53</v>
      </c>
      <c r="B39" s="36">
        <v>2040</v>
      </c>
      <c r="C39" s="37" t="s">
        <v>178</v>
      </c>
      <c r="D39" s="38" t="s">
        <v>11</v>
      </c>
      <c r="E39" s="39" t="s">
        <v>5</v>
      </c>
      <c r="F39" s="40" t="e">
        <f>VLOOKUP(E39,$X$9:$X$13,2,FALSE)</f>
        <v>#N/A</v>
      </c>
      <c r="G39" s="41">
        <v>8</v>
      </c>
      <c r="H39" s="41">
        <v>6</v>
      </c>
      <c r="I39" s="41">
        <v>23</v>
      </c>
      <c r="J39" s="41">
        <v>12</v>
      </c>
      <c r="K39" s="41">
        <v>7</v>
      </c>
      <c r="L39" s="1065">
        <v>4</v>
      </c>
      <c r="M39" s="50">
        <f t="shared" si="31"/>
        <v>492</v>
      </c>
      <c r="N39" s="1064">
        <f t="shared" ref="N39:N41" si="34">SUM(G39:L39)</f>
        <v>60</v>
      </c>
      <c r="O39" s="114" t="str">
        <f t="shared" ref="O39:O41" si="35">IF(M39&gt;509,"Yes","NO")</f>
        <v>NO</v>
      </c>
      <c r="P39" s="554"/>
      <c r="Q39" s="555"/>
      <c r="R39" s="3"/>
      <c r="S39" s="3"/>
      <c r="T39" s="3"/>
      <c r="U39" s="3"/>
      <c r="V39" s="3"/>
      <c r="W39" s="3"/>
    </row>
    <row r="40" spans="1:23" ht="15.75" x14ac:dyDescent="0.25">
      <c r="A40" s="25" t="s">
        <v>53</v>
      </c>
      <c r="B40" s="36">
        <v>1599</v>
      </c>
      <c r="C40" s="37" t="s">
        <v>201</v>
      </c>
      <c r="D40" s="38" t="s">
        <v>12</v>
      </c>
      <c r="E40" s="39" t="s">
        <v>5</v>
      </c>
      <c r="F40" s="40" t="e">
        <f>VLOOKUP(E40,$X$9:$X$13,2,FALSE)</f>
        <v>#N/A</v>
      </c>
      <c r="G40" s="41">
        <v>3</v>
      </c>
      <c r="H40" s="41">
        <v>4</v>
      </c>
      <c r="I40" s="41">
        <v>22</v>
      </c>
      <c r="J40" s="41">
        <v>18</v>
      </c>
      <c r="K40" s="41">
        <v>8</v>
      </c>
      <c r="L40" s="1065">
        <v>5</v>
      </c>
      <c r="M40" s="50">
        <f t="shared" si="31"/>
        <v>468</v>
      </c>
      <c r="N40" s="1064">
        <f t="shared" si="34"/>
        <v>60</v>
      </c>
      <c r="O40" s="114" t="str">
        <f t="shared" si="35"/>
        <v>NO</v>
      </c>
      <c r="P40" s="554"/>
      <c r="Q40" s="555"/>
      <c r="R40" s="3"/>
      <c r="S40" s="3"/>
      <c r="T40" s="3"/>
      <c r="U40" s="3"/>
      <c r="V40" s="3"/>
      <c r="W40" s="3"/>
    </row>
    <row r="41" spans="1:23" ht="15.75" x14ac:dyDescent="0.25">
      <c r="A41" s="25" t="s">
        <v>53</v>
      </c>
      <c r="B41" s="36">
        <v>1615</v>
      </c>
      <c r="C41" s="37" t="s">
        <v>171</v>
      </c>
      <c r="D41" s="38" t="s">
        <v>12</v>
      </c>
      <c r="E41" s="39" t="s">
        <v>5</v>
      </c>
      <c r="F41" s="40" t="e">
        <f>VLOOKUP(E41,$X$9:$X$13,2,FALSE)</f>
        <v>#N/A</v>
      </c>
      <c r="G41" s="41">
        <v>5</v>
      </c>
      <c r="H41" s="41">
        <v>9</v>
      </c>
      <c r="I41" s="41">
        <v>18</v>
      </c>
      <c r="J41" s="41">
        <v>17</v>
      </c>
      <c r="K41" s="41">
        <v>4</v>
      </c>
      <c r="L41" s="1065">
        <v>7</v>
      </c>
      <c r="M41" s="50">
        <f t="shared" si="31"/>
        <v>466</v>
      </c>
      <c r="N41" s="1064">
        <f t="shared" si="34"/>
        <v>60</v>
      </c>
      <c r="O41" s="114" t="str">
        <f t="shared" si="35"/>
        <v>NO</v>
      </c>
      <c r="P41" s="554"/>
      <c r="Q41" s="555"/>
      <c r="R41" s="3"/>
      <c r="S41" s="3"/>
      <c r="T41" s="3"/>
      <c r="U41" s="3"/>
      <c r="V41" s="3"/>
      <c r="W41" s="3"/>
    </row>
    <row r="42" spans="1:23" ht="15.75" x14ac:dyDescent="0.25">
      <c r="A42" s="25" t="s">
        <v>53</v>
      </c>
      <c r="B42" s="36">
        <v>2009</v>
      </c>
      <c r="C42" s="37" t="s">
        <v>234</v>
      </c>
      <c r="D42" s="38" t="s">
        <v>10</v>
      </c>
      <c r="E42" s="39" t="s">
        <v>5</v>
      </c>
      <c r="F42" s="40"/>
      <c r="G42" s="41">
        <v>5</v>
      </c>
      <c r="H42" s="41">
        <v>10</v>
      </c>
      <c r="I42" s="41">
        <v>21</v>
      </c>
      <c r="J42" s="41">
        <v>8</v>
      </c>
      <c r="K42" s="41">
        <v>7</v>
      </c>
      <c r="L42" s="1065">
        <v>9</v>
      </c>
      <c r="M42" s="50">
        <f t="shared" si="31"/>
        <v>452</v>
      </c>
      <c r="N42" s="1064">
        <f t="shared" si="32"/>
        <v>60</v>
      </c>
      <c r="O42" s="114" t="str">
        <f t="shared" si="33"/>
        <v>NO</v>
      </c>
      <c r="P42" s="115"/>
      <c r="Q42" s="112"/>
      <c r="R42" s="3"/>
      <c r="S42" s="3"/>
      <c r="T42" s="3"/>
      <c r="U42" s="3"/>
      <c r="V42" s="3"/>
      <c r="W42" s="3"/>
    </row>
    <row r="43" spans="1:23" ht="16.5" thickBot="1" x14ac:dyDescent="0.3">
      <c r="A43" s="25" t="s">
        <v>53</v>
      </c>
      <c r="B43" s="36">
        <v>1850</v>
      </c>
      <c r="C43" s="37" t="s">
        <v>243</v>
      </c>
      <c r="D43" s="38" t="s">
        <v>8</v>
      </c>
      <c r="E43" s="39" t="s">
        <v>5</v>
      </c>
      <c r="F43" s="40"/>
      <c r="G43" s="41">
        <v>2</v>
      </c>
      <c r="H43" s="41">
        <v>2</v>
      </c>
      <c r="I43" s="41">
        <v>16</v>
      </c>
      <c r="J43" s="41">
        <v>14</v>
      </c>
      <c r="K43" s="41">
        <v>10</v>
      </c>
      <c r="L43" s="1065">
        <v>16</v>
      </c>
      <c r="M43" s="59">
        <f t="shared" si="31"/>
        <v>366</v>
      </c>
      <c r="N43" s="1064">
        <f t="shared" si="32"/>
        <v>60</v>
      </c>
      <c r="O43" s="114" t="str">
        <f t="shared" si="33"/>
        <v>NO</v>
      </c>
      <c r="P43" s="115"/>
      <c r="Q43" s="112"/>
      <c r="R43" s="3"/>
      <c r="S43" s="3"/>
      <c r="T43" s="3"/>
      <c r="U43" s="3"/>
      <c r="V43" s="3"/>
      <c r="W43" s="3"/>
    </row>
    <row r="44" spans="1:23" ht="19.5" thickBot="1" x14ac:dyDescent="0.3">
      <c r="A44" s="3"/>
      <c r="B44" s="123">
        <f>COUNT(B28:B43)</f>
        <v>16</v>
      </c>
      <c r="C44" s="1605" t="s">
        <v>34</v>
      </c>
      <c r="D44" s="1606"/>
      <c r="E44" s="1607" t="s">
        <v>51</v>
      </c>
      <c r="F44" s="1608"/>
      <c r="G44" s="1608"/>
      <c r="H44" s="1608"/>
      <c r="I44" s="1608"/>
      <c r="J44" s="1608"/>
      <c r="K44" s="1608"/>
      <c r="L44" s="1608"/>
      <c r="M44" s="1609"/>
      <c r="N44" s="1608"/>
      <c r="O44" s="1608"/>
      <c r="P44" s="1610"/>
      <c r="Q44" s="3"/>
      <c r="R44" s="3"/>
      <c r="S44" s="3"/>
      <c r="T44" s="3"/>
      <c r="U44" s="3"/>
      <c r="V44" s="3"/>
      <c r="W44" s="3"/>
    </row>
    <row r="45" spans="1:23" ht="15.75" x14ac:dyDescent="0.25">
      <c r="A45" s="3"/>
      <c r="B45" s="5"/>
      <c r="C45" s="5"/>
      <c r="D45" s="12"/>
      <c r="E45" s="6"/>
      <c r="F45" s="13"/>
      <c r="G45" s="3"/>
      <c r="H45" s="3"/>
      <c r="I45" s="3"/>
      <c r="J45" s="3"/>
      <c r="K45" s="3"/>
      <c r="L45" s="3"/>
      <c r="M45" s="14"/>
      <c r="N45" s="3"/>
      <c r="O45" s="3"/>
      <c r="P45" s="3"/>
      <c r="Q45" s="3"/>
      <c r="R45" s="3"/>
      <c r="S45" s="3"/>
      <c r="T45" s="3"/>
      <c r="U45" s="3"/>
      <c r="V45" s="3"/>
      <c r="W45" s="3"/>
    </row>
  </sheetData>
  <sortState ref="B14:M16">
    <sortCondition descending="1" ref="M14"/>
  </sortState>
  <mergeCells count="8">
    <mergeCell ref="C44:D44"/>
    <mergeCell ref="E44:P44"/>
    <mergeCell ref="B5:Q5"/>
    <mergeCell ref="B22:Q22"/>
    <mergeCell ref="A2:S2"/>
    <mergeCell ref="B4:S4"/>
    <mergeCell ref="C19:D19"/>
    <mergeCell ref="E19:P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4"/>
  <sheetViews>
    <sheetView topLeftCell="A25" workbookViewId="0">
      <selection activeCell="U27" sqref="U27"/>
    </sheetView>
  </sheetViews>
  <sheetFormatPr defaultRowHeight="15" x14ac:dyDescent="0.25"/>
  <cols>
    <col min="1" max="1" width="5.28515625" customWidth="1"/>
    <col min="3" max="3" width="26" customWidth="1"/>
    <col min="6" max="6" width="0" hidden="1" customWidth="1"/>
    <col min="7" max="7" width="5.140625" customWidth="1"/>
    <col min="8" max="8" width="4.7109375" customWidth="1"/>
    <col min="9" max="9" width="5.28515625" customWidth="1"/>
    <col min="10" max="10" width="5.140625" customWidth="1"/>
    <col min="11" max="11" width="5" customWidth="1"/>
    <col min="12" max="12" width="7.85546875" hidden="1" customWidth="1"/>
    <col min="13" max="13" width="4.7109375" customWidth="1"/>
    <col min="19" max="19" width="0.5703125" customWidth="1"/>
  </cols>
  <sheetData>
    <row r="1" spans="1:23" ht="15.75" thickBot="1" x14ac:dyDescent="0.3"/>
    <row r="2" spans="1:23" ht="21.75" thickBot="1" x14ac:dyDescent="0.3">
      <c r="A2" s="1618" t="s">
        <v>206</v>
      </c>
      <c r="B2" s="1619"/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  <c r="O2" s="1619"/>
      <c r="P2" s="1619"/>
      <c r="Q2" s="1619"/>
      <c r="R2" s="1619"/>
      <c r="S2" s="1620"/>
    </row>
    <row r="3" spans="1:23" ht="16.5" thickBot="1" x14ac:dyDescent="0.3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4"/>
      <c r="P3" s="10"/>
      <c r="Q3" s="3"/>
      <c r="R3" s="3"/>
      <c r="S3" s="3"/>
    </row>
    <row r="4" spans="1:23" ht="24" thickBot="1" x14ac:dyDescent="0.3">
      <c r="A4" s="11"/>
      <c r="B4" s="1590" t="s">
        <v>156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1"/>
      <c r="R4" s="1591"/>
      <c r="S4" s="1592"/>
    </row>
    <row r="5" spans="1:23" ht="16.5" thickBot="1" x14ac:dyDescent="0.3">
      <c r="A5" s="3"/>
      <c r="B5" s="5"/>
      <c r="C5" s="5"/>
      <c r="D5" s="12"/>
      <c r="E5" s="6"/>
      <c r="F5" s="13"/>
      <c r="G5" s="3"/>
      <c r="H5" s="3"/>
      <c r="I5" s="3"/>
      <c r="J5" s="3"/>
      <c r="K5" s="3"/>
      <c r="L5" s="3"/>
      <c r="M5" s="14"/>
      <c r="N5" s="3"/>
      <c r="O5" s="3"/>
      <c r="P5" s="3"/>
      <c r="Q5" s="3"/>
      <c r="R5" s="3"/>
      <c r="S5" s="3"/>
    </row>
    <row r="6" spans="1:23" ht="27.75" customHeight="1" thickBot="1" x14ac:dyDescent="0.3">
      <c r="A6" s="3"/>
      <c r="B6" s="1601" t="s">
        <v>59</v>
      </c>
      <c r="C6" s="1602"/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2"/>
      <c r="O6" s="1602"/>
      <c r="P6" s="1602"/>
      <c r="Q6" s="1602"/>
      <c r="R6" s="1603"/>
      <c r="S6" s="3"/>
    </row>
    <row r="7" spans="1:23" ht="32.25" thickBot="1" x14ac:dyDescent="0.3">
      <c r="A7" s="3"/>
      <c r="B7" s="15" t="s">
        <v>157</v>
      </c>
      <c r="C7" s="16" t="s">
        <v>18</v>
      </c>
      <c r="D7" s="17" t="s">
        <v>19</v>
      </c>
      <c r="E7" s="124" t="s">
        <v>20</v>
      </c>
      <c r="F7" s="18"/>
      <c r="G7" s="95" t="s">
        <v>21</v>
      </c>
      <c r="H7" s="19">
        <v>10</v>
      </c>
      <c r="I7" s="19">
        <v>9</v>
      </c>
      <c r="J7" s="19">
        <v>8</v>
      </c>
      <c r="K7" s="20">
        <v>7</v>
      </c>
      <c r="L7" s="20">
        <v>6</v>
      </c>
      <c r="M7" s="92">
        <v>0</v>
      </c>
      <c r="N7" s="125" t="s">
        <v>22</v>
      </c>
      <c r="O7" s="94" t="s">
        <v>42</v>
      </c>
      <c r="P7" s="23" t="s">
        <v>24</v>
      </c>
      <c r="Q7" s="15" t="s">
        <v>25</v>
      </c>
      <c r="R7" s="24" t="s">
        <v>26</v>
      </c>
      <c r="S7" s="3"/>
    </row>
    <row r="8" spans="1:23" ht="15.75" x14ac:dyDescent="0.25">
      <c r="A8" s="25" t="s">
        <v>0</v>
      </c>
      <c r="B8" s="274">
        <v>169</v>
      </c>
      <c r="C8" s="648" t="s">
        <v>170</v>
      </c>
      <c r="D8" s="27" t="s">
        <v>7</v>
      </c>
      <c r="E8" s="28" t="s">
        <v>13</v>
      </c>
      <c r="F8" s="29"/>
      <c r="G8" s="932">
        <v>28</v>
      </c>
      <c r="H8" s="932">
        <v>11</v>
      </c>
      <c r="I8" s="932">
        <v>7</v>
      </c>
      <c r="J8" s="932">
        <v>2</v>
      </c>
      <c r="K8" s="932"/>
      <c r="L8" s="932"/>
      <c r="M8" s="938"/>
      <c r="N8" s="559">
        <f>(G8*10)+(H8*10)+(I8*9)+(J8*8)+(K8*7)+(L8*6)</f>
        <v>469</v>
      </c>
      <c r="O8" s="581">
        <f t="shared" ref="O8:O9" si="0">SUM(G8:M8)</f>
        <v>48</v>
      </c>
      <c r="P8" s="1056"/>
      <c r="Q8" s="1059"/>
      <c r="R8" s="35" t="str">
        <f>IF(N8=0," ",IF(O8&lt;&gt;48,"ERROR!"," "))</f>
        <v xml:space="preserve"> </v>
      </c>
      <c r="S8" s="3"/>
    </row>
    <row r="9" spans="1:23" ht="15.75" x14ac:dyDescent="0.25">
      <c r="A9" s="25" t="s">
        <v>0</v>
      </c>
      <c r="B9" s="117">
        <v>1475</v>
      </c>
      <c r="C9" s="745" t="s">
        <v>30</v>
      </c>
      <c r="D9" s="38" t="s">
        <v>10</v>
      </c>
      <c r="E9" s="39" t="s">
        <v>13</v>
      </c>
      <c r="F9" s="40" t="e">
        <f>VLOOKUP(E9,$Y$8:$Z$9,2,FALSE)</f>
        <v>#N/A</v>
      </c>
      <c r="G9" s="918">
        <v>25</v>
      </c>
      <c r="H9" s="918">
        <v>12</v>
      </c>
      <c r="I9" s="918">
        <v>9</v>
      </c>
      <c r="J9" s="918">
        <v>2</v>
      </c>
      <c r="K9" s="919"/>
      <c r="L9" s="919"/>
      <c r="M9" s="920"/>
      <c r="N9" s="52">
        <f>(G9*10)+(H9*10)+(I9*9)+(J9*8)+(K9*7)+(L9*6)</f>
        <v>467</v>
      </c>
      <c r="O9" s="506">
        <f t="shared" si="0"/>
        <v>48</v>
      </c>
      <c r="P9" s="1057"/>
      <c r="Q9" s="1060"/>
      <c r="R9" s="60"/>
      <c r="S9" s="3"/>
    </row>
    <row r="10" spans="1:23" ht="16.5" thickBot="1" x14ac:dyDescent="0.3">
      <c r="A10" s="25" t="s">
        <v>0</v>
      </c>
      <c r="B10" s="77">
        <v>1786</v>
      </c>
      <c r="C10" s="777" t="s">
        <v>172</v>
      </c>
      <c r="D10" s="63" t="s">
        <v>12</v>
      </c>
      <c r="E10" s="64" t="s">
        <v>13</v>
      </c>
      <c r="F10" s="65" t="e">
        <f>VLOOKUP(E10,$Y$8:$Z$9,2,FALSE)</f>
        <v>#N/A</v>
      </c>
      <c r="G10" s="939">
        <v>18</v>
      </c>
      <c r="H10" s="939">
        <v>14</v>
      </c>
      <c r="I10" s="939">
        <v>10</v>
      </c>
      <c r="J10" s="939">
        <v>4</v>
      </c>
      <c r="K10" s="939">
        <v>2</v>
      </c>
      <c r="L10" s="939"/>
      <c r="M10" s="940"/>
      <c r="N10" s="579">
        <f>(G10*10)+(H10*10)+(I10*9)+(J10*8)+(K10*7)+(L10*6)</f>
        <v>456</v>
      </c>
      <c r="O10" s="776">
        <f t="shared" ref="O10:O21" si="1">SUM(G10:M10)</f>
        <v>48</v>
      </c>
      <c r="P10" s="1058"/>
      <c r="Q10" s="1061"/>
      <c r="R10" s="110"/>
      <c r="S10" s="3"/>
      <c r="U10" s="839"/>
      <c r="V10" s="839"/>
      <c r="W10" s="839"/>
    </row>
    <row r="11" spans="1:23" ht="15.75" x14ac:dyDescent="0.25">
      <c r="A11" s="25" t="s">
        <v>0</v>
      </c>
      <c r="B11" s="274">
        <v>1798</v>
      </c>
      <c r="C11" s="648" t="s">
        <v>60</v>
      </c>
      <c r="D11" s="27" t="s">
        <v>7</v>
      </c>
      <c r="E11" s="28" t="s">
        <v>3</v>
      </c>
      <c r="F11" s="29" t="e">
        <f>VLOOKUP(E11,$Y$8:$Z$9,2,FALSE)</f>
        <v>#N/A</v>
      </c>
      <c r="G11" s="932">
        <v>23</v>
      </c>
      <c r="H11" s="932">
        <v>16</v>
      </c>
      <c r="I11" s="932">
        <v>4</v>
      </c>
      <c r="J11" s="932">
        <v>4</v>
      </c>
      <c r="K11" s="932">
        <v>1</v>
      </c>
      <c r="L11" s="932"/>
      <c r="M11" s="933"/>
      <c r="N11" s="34">
        <f t="shared" ref="N11:N12" si="2">(G11*10)+(H11*10)+(I11*9)+(J11*8)+(K11*7)+(L11*6)</f>
        <v>465</v>
      </c>
      <c r="O11" s="111">
        <f t="shared" si="1"/>
        <v>48</v>
      </c>
      <c r="P11" s="196" t="str">
        <f t="shared" ref="P11" si="3">IF(N11&gt;471,"Yes","NO")</f>
        <v>NO</v>
      </c>
      <c r="Q11" s="31" t="str">
        <f>IF(P11="yes","HM","")</f>
        <v/>
      </c>
      <c r="R11" s="35" t="str">
        <f t="shared" ref="R11:R21" si="4">IF(N11=0," ",IF(O11&lt;&gt;48,"ERROR!"," "))</f>
        <v xml:space="preserve"> </v>
      </c>
      <c r="S11" s="3"/>
    </row>
    <row r="12" spans="1:23" ht="16.5" thickBot="1" x14ac:dyDescent="0.3">
      <c r="A12" s="25" t="s">
        <v>0</v>
      </c>
      <c r="B12" s="117">
        <v>1477</v>
      </c>
      <c r="C12" s="745" t="s">
        <v>200</v>
      </c>
      <c r="D12" s="38" t="s">
        <v>12</v>
      </c>
      <c r="E12" s="39" t="s">
        <v>3</v>
      </c>
      <c r="F12" s="40"/>
      <c r="G12" s="919">
        <v>21</v>
      </c>
      <c r="H12" s="919">
        <v>11</v>
      </c>
      <c r="I12" s="919">
        <v>11</v>
      </c>
      <c r="J12" s="919">
        <v>3</v>
      </c>
      <c r="K12" s="919">
        <v>1</v>
      </c>
      <c r="L12" s="919"/>
      <c r="M12" s="920">
        <v>1</v>
      </c>
      <c r="N12" s="743">
        <f t="shared" si="2"/>
        <v>450</v>
      </c>
      <c r="O12" s="746">
        <f>SUM(G12:M12)</f>
        <v>48</v>
      </c>
      <c r="P12" s="70" t="s">
        <v>204</v>
      </c>
      <c r="Q12" s="42"/>
      <c r="R12" s="62" t="str">
        <f>IF(N12=0," ",IF(O12&lt;&gt;48,"ERROR!"," "))</f>
        <v xml:space="preserve"> </v>
      </c>
      <c r="S12" s="3"/>
    </row>
    <row r="13" spans="1:23" ht="15.75" x14ac:dyDescent="0.25">
      <c r="A13" s="25" t="s">
        <v>0</v>
      </c>
      <c r="B13" s="23">
        <v>1268</v>
      </c>
      <c r="C13" s="941" t="s">
        <v>168</v>
      </c>
      <c r="D13" s="96" t="s">
        <v>8</v>
      </c>
      <c r="E13" s="83" t="s">
        <v>4</v>
      </c>
      <c r="F13" s="80"/>
      <c r="G13" s="914">
        <v>16</v>
      </c>
      <c r="H13" s="914">
        <v>8</v>
      </c>
      <c r="I13" s="914">
        <v>19</v>
      </c>
      <c r="J13" s="914">
        <v>4</v>
      </c>
      <c r="K13" s="914">
        <v>1</v>
      </c>
      <c r="L13" s="914"/>
      <c r="M13" s="937"/>
      <c r="N13" s="559">
        <f t="shared" ref="N13:N25" si="5">(G13*10)+(H13*10)+(I13*9)+(J13*8)+(K13*7)+(L13*6)</f>
        <v>450</v>
      </c>
      <c r="O13" s="581">
        <f>SUM(G13:M13)</f>
        <v>48</v>
      </c>
      <c r="P13" s="875" t="str">
        <f>IF(N13&gt;460,"Yes","NO")</f>
        <v>NO</v>
      </c>
      <c r="Q13" s="21" t="str">
        <f>IF(P13="yes","M","")</f>
        <v/>
      </c>
      <c r="R13" s="35" t="str">
        <f>IF(N13=0," ",IF(O13&lt;&gt;48,"ERROR!"," "))</f>
        <v xml:space="preserve"> </v>
      </c>
      <c r="S13" s="3"/>
    </row>
    <row r="14" spans="1:23" ht="15.75" x14ac:dyDescent="0.25">
      <c r="A14" s="25" t="s">
        <v>0</v>
      </c>
      <c r="B14" s="90">
        <v>2138</v>
      </c>
      <c r="C14" s="580" t="s">
        <v>269</v>
      </c>
      <c r="D14" s="46" t="s">
        <v>8</v>
      </c>
      <c r="E14" s="47" t="s">
        <v>4</v>
      </c>
      <c r="F14" s="48"/>
      <c r="G14" s="916">
        <v>16</v>
      </c>
      <c r="H14" s="916">
        <v>13</v>
      </c>
      <c r="I14" s="916">
        <v>9</v>
      </c>
      <c r="J14" s="916">
        <v>8</v>
      </c>
      <c r="K14" s="916">
        <v>2</v>
      </c>
      <c r="L14" s="916"/>
      <c r="M14" s="934"/>
      <c r="N14" s="52">
        <f t="shared" si="5"/>
        <v>449</v>
      </c>
      <c r="O14" s="506">
        <f t="shared" si="1"/>
        <v>48</v>
      </c>
      <c r="P14" s="70" t="str">
        <f>IF(N14&gt;460,"Yes","NO")</f>
        <v>NO</v>
      </c>
      <c r="Q14" s="50" t="str">
        <f>IF(P14="yes","M","")</f>
        <v/>
      </c>
      <c r="R14" s="53" t="str">
        <f>IF(N14=0," ",IF(O14&lt;&gt;48,"ERROR!"," "))</f>
        <v xml:space="preserve"> </v>
      </c>
      <c r="S14" s="3"/>
    </row>
    <row r="15" spans="1:23" ht="15.75" x14ac:dyDescent="0.25">
      <c r="A15" s="25" t="s">
        <v>0</v>
      </c>
      <c r="B15" s="90">
        <v>1982</v>
      </c>
      <c r="C15" s="580" t="s">
        <v>214</v>
      </c>
      <c r="D15" s="46" t="s">
        <v>12</v>
      </c>
      <c r="E15" s="47" t="s">
        <v>4</v>
      </c>
      <c r="F15" s="48"/>
      <c r="G15" s="919">
        <v>18</v>
      </c>
      <c r="H15" s="919">
        <v>12</v>
      </c>
      <c r="I15" s="919">
        <v>9</v>
      </c>
      <c r="J15" s="919">
        <v>5</v>
      </c>
      <c r="K15" s="919">
        <v>3</v>
      </c>
      <c r="L15" s="919"/>
      <c r="M15" s="920">
        <v>1</v>
      </c>
      <c r="N15" s="52">
        <f t="shared" si="5"/>
        <v>442</v>
      </c>
      <c r="O15" s="506">
        <f t="shared" si="1"/>
        <v>48</v>
      </c>
      <c r="P15" s="70" t="str">
        <f t="shared" ref="P15:P21" si="6">IF(N15&gt;460,"Yes","NO")</f>
        <v>NO</v>
      </c>
      <c r="Q15" s="50" t="str">
        <f t="shared" ref="Q15:Q21" si="7">IF(P15="yes","M","")</f>
        <v/>
      </c>
      <c r="R15" s="53" t="str">
        <f t="shared" si="4"/>
        <v xml:space="preserve"> </v>
      </c>
      <c r="S15" s="3"/>
    </row>
    <row r="16" spans="1:23" ht="15.75" x14ac:dyDescent="0.25">
      <c r="A16" s="25" t="s">
        <v>0</v>
      </c>
      <c r="B16" s="90">
        <v>1901</v>
      </c>
      <c r="C16" s="580" t="s">
        <v>38</v>
      </c>
      <c r="D16" s="127" t="s">
        <v>11</v>
      </c>
      <c r="E16" s="47" t="s">
        <v>4</v>
      </c>
      <c r="F16" s="48" t="e">
        <f>VLOOKUP(E16,$Y$8:$Z$9,2,FALSE)</f>
        <v>#N/A</v>
      </c>
      <c r="G16" s="916">
        <v>17</v>
      </c>
      <c r="H16" s="916">
        <v>8</v>
      </c>
      <c r="I16" s="916">
        <v>17</v>
      </c>
      <c r="J16" s="916">
        <v>3</v>
      </c>
      <c r="K16" s="916">
        <v>2</v>
      </c>
      <c r="L16" s="916"/>
      <c r="M16" s="917">
        <v>1</v>
      </c>
      <c r="N16" s="52">
        <f t="shared" si="5"/>
        <v>441</v>
      </c>
      <c r="O16" s="506">
        <f>SUM(G16:M16)</f>
        <v>48</v>
      </c>
      <c r="P16" s="70" t="str">
        <f t="shared" si="6"/>
        <v>NO</v>
      </c>
      <c r="Q16" s="50" t="str">
        <f t="shared" si="7"/>
        <v/>
      </c>
      <c r="R16" s="53"/>
      <c r="S16" s="3"/>
    </row>
    <row r="17" spans="1:19" ht="15.75" x14ac:dyDescent="0.25">
      <c r="A17" s="25" t="s">
        <v>0</v>
      </c>
      <c r="B17" s="90">
        <v>309</v>
      </c>
      <c r="C17" s="580" t="s">
        <v>235</v>
      </c>
      <c r="D17" s="46" t="s">
        <v>10</v>
      </c>
      <c r="E17" s="47" t="s">
        <v>4</v>
      </c>
      <c r="F17" s="48"/>
      <c r="G17" s="916">
        <v>13</v>
      </c>
      <c r="H17" s="916">
        <v>18</v>
      </c>
      <c r="I17" s="916">
        <v>11</v>
      </c>
      <c r="J17" s="916">
        <v>3</v>
      </c>
      <c r="K17" s="916">
        <v>1</v>
      </c>
      <c r="L17" s="916"/>
      <c r="M17" s="917">
        <v>2</v>
      </c>
      <c r="N17" s="52">
        <f t="shared" si="5"/>
        <v>440</v>
      </c>
      <c r="O17" s="506">
        <f>SUM(G17:M17)</f>
        <v>48</v>
      </c>
      <c r="P17" s="70" t="str">
        <f t="shared" ref="P17:P19" si="8">IF(N17&gt;460,"Yes","NO")</f>
        <v>NO</v>
      </c>
      <c r="Q17" s="50"/>
      <c r="R17" s="53"/>
      <c r="S17" s="3"/>
    </row>
    <row r="18" spans="1:19" ht="15.75" x14ac:dyDescent="0.25">
      <c r="A18" s="25" t="s">
        <v>0</v>
      </c>
      <c r="B18" s="90">
        <v>1853</v>
      </c>
      <c r="C18" s="580" t="s">
        <v>40</v>
      </c>
      <c r="D18" s="46" t="s">
        <v>11</v>
      </c>
      <c r="E18" s="47" t="s">
        <v>4</v>
      </c>
      <c r="F18" s="48">
        <v>1</v>
      </c>
      <c r="G18" s="916">
        <v>10</v>
      </c>
      <c r="H18" s="916">
        <v>17</v>
      </c>
      <c r="I18" s="916">
        <v>12</v>
      </c>
      <c r="J18" s="916">
        <v>6</v>
      </c>
      <c r="K18" s="916">
        <v>1</v>
      </c>
      <c r="L18" s="916"/>
      <c r="M18" s="917">
        <v>2</v>
      </c>
      <c r="N18" s="52">
        <f t="shared" si="5"/>
        <v>433</v>
      </c>
      <c r="O18" s="506">
        <f>SUM(G18:M18)</f>
        <v>48</v>
      </c>
      <c r="P18" s="70" t="str">
        <f t="shared" si="8"/>
        <v>NO</v>
      </c>
      <c r="Q18" s="50"/>
      <c r="R18" s="53"/>
      <c r="S18" s="3"/>
    </row>
    <row r="19" spans="1:19" ht="15.75" x14ac:dyDescent="0.25">
      <c r="A19" s="25" t="s">
        <v>0</v>
      </c>
      <c r="B19" s="90">
        <v>638</v>
      </c>
      <c r="C19" s="580" t="s">
        <v>199</v>
      </c>
      <c r="D19" s="46" t="s">
        <v>12</v>
      </c>
      <c r="E19" s="47" t="s">
        <v>4</v>
      </c>
      <c r="F19" s="48">
        <v>3</v>
      </c>
      <c r="G19" s="916">
        <v>15</v>
      </c>
      <c r="H19" s="916">
        <v>8</v>
      </c>
      <c r="I19" s="916">
        <v>8</v>
      </c>
      <c r="J19" s="916">
        <v>13</v>
      </c>
      <c r="K19" s="916">
        <v>1</v>
      </c>
      <c r="L19" s="916"/>
      <c r="M19" s="917">
        <v>3</v>
      </c>
      <c r="N19" s="52">
        <f t="shared" si="5"/>
        <v>413</v>
      </c>
      <c r="O19" s="506">
        <f>SUM(G19:M19)</f>
        <v>48</v>
      </c>
      <c r="P19" s="70" t="str">
        <f t="shared" si="8"/>
        <v>NO</v>
      </c>
      <c r="Q19" s="50"/>
      <c r="R19" s="53"/>
      <c r="S19" s="3"/>
    </row>
    <row r="20" spans="1:19" ht="15.75" x14ac:dyDescent="0.25">
      <c r="A20" s="25" t="s">
        <v>0</v>
      </c>
      <c r="B20" s="90">
        <v>1264</v>
      </c>
      <c r="C20" s="580" t="s">
        <v>270</v>
      </c>
      <c r="D20" s="46" t="s">
        <v>7</v>
      </c>
      <c r="E20" s="47" t="s">
        <v>4</v>
      </c>
      <c r="F20" s="48"/>
      <c r="G20" s="916">
        <v>6</v>
      </c>
      <c r="H20" s="916">
        <v>13</v>
      </c>
      <c r="I20" s="916">
        <v>12</v>
      </c>
      <c r="J20" s="916">
        <v>4</v>
      </c>
      <c r="K20" s="916">
        <v>4</v>
      </c>
      <c r="L20" s="916"/>
      <c r="M20" s="917">
        <v>9</v>
      </c>
      <c r="N20" s="52">
        <f t="shared" si="5"/>
        <v>358</v>
      </c>
      <c r="O20" s="506">
        <f>SUM(G20:M20)</f>
        <v>48</v>
      </c>
      <c r="P20" s="70" t="str">
        <f t="shared" ref="P20" si="9">IF(N20&gt;460,"Yes","NO")</f>
        <v>NO</v>
      </c>
      <c r="Q20" s="50"/>
      <c r="R20" s="53"/>
      <c r="S20" s="3"/>
    </row>
    <row r="21" spans="1:19" ht="16.5" thickBot="1" x14ac:dyDescent="0.3">
      <c r="A21" s="25" t="s">
        <v>0</v>
      </c>
      <c r="B21" s="90">
        <v>723</v>
      </c>
      <c r="C21" s="580" t="s">
        <v>63</v>
      </c>
      <c r="D21" s="46" t="s">
        <v>12</v>
      </c>
      <c r="E21" s="47" t="s">
        <v>4</v>
      </c>
      <c r="F21" s="48" t="e">
        <f>VLOOKUP(E21,$Y$8:$Z$9,2,FALSE)</f>
        <v>#N/A</v>
      </c>
      <c r="G21" s="916">
        <v>14</v>
      </c>
      <c r="H21" s="916">
        <v>9</v>
      </c>
      <c r="I21" s="916">
        <v>5</v>
      </c>
      <c r="J21" s="916">
        <v>3</v>
      </c>
      <c r="K21" s="916">
        <v>7</v>
      </c>
      <c r="L21" s="916"/>
      <c r="M21" s="917">
        <v>10</v>
      </c>
      <c r="N21" s="52">
        <f t="shared" si="5"/>
        <v>348</v>
      </c>
      <c r="O21" s="506">
        <f t="shared" si="1"/>
        <v>48</v>
      </c>
      <c r="P21" s="70" t="str">
        <f t="shared" si="6"/>
        <v>NO</v>
      </c>
      <c r="Q21" s="50" t="str">
        <f t="shared" si="7"/>
        <v/>
      </c>
      <c r="R21" s="53" t="str">
        <f t="shared" si="4"/>
        <v xml:space="preserve"> </v>
      </c>
      <c r="S21" s="3"/>
    </row>
    <row r="22" spans="1:19" ht="15.75" x14ac:dyDescent="0.25">
      <c r="A22" s="25" t="s">
        <v>0</v>
      </c>
      <c r="B22" s="274">
        <v>2035</v>
      </c>
      <c r="C22" s="648" t="s">
        <v>222</v>
      </c>
      <c r="D22" s="27" t="s">
        <v>11</v>
      </c>
      <c r="E22" s="28" t="s">
        <v>6</v>
      </c>
      <c r="F22" s="29"/>
      <c r="G22" s="932">
        <v>9</v>
      </c>
      <c r="H22" s="932">
        <v>18</v>
      </c>
      <c r="I22" s="932">
        <v>13</v>
      </c>
      <c r="J22" s="932">
        <v>6</v>
      </c>
      <c r="K22" s="932">
        <v>2</v>
      </c>
      <c r="L22" s="932"/>
      <c r="M22" s="938"/>
      <c r="N22" s="34">
        <f t="shared" si="5"/>
        <v>449</v>
      </c>
      <c r="O22" s="111">
        <f t="shared" ref="O22" si="10">SUM(G22:M22)</f>
        <v>48</v>
      </c>
      <c r="P22" s="747" t="str">
        <f t="shared" ref="P22" si="11">IF(N22&gt;441,"Yes","NO")</f>
        <v>Yes</v>
      </c>
      <c r="Q22" s="21" t="str">
        <f t="shared" ref="Q22:Q23" si="12">IF(P22="yes","G","")</f>
        <v>G</v>
      </c>
      <c r="R22" s="35"/>
      <c r="S22" s="3"/>
    </row>
    <row r="23" spans="1:19" ht="15.75" x14ac:dyDescent="0.25">
      <c r="A23" s="25" t="s">
        <v>0</v>
      </c>
      <c r="B23" s="117">
        <v>1956</v>
      </c>
      <c r="C23" s="745" t="s">
        <v>49</v>
      </c>
      <c r="D23" s="38" t="s">
        <v>10</v>
      </c>
      <c r="E23" s="861" t="s">
        <v>6</v>
      </c>
      <c r="F23" s="40">
        <v>1</v>
      </c>
      <c r="G23" s="918">
        <v>11</v>
      </c>
      <c r="H23" s="918">
        <v>11</v>
      </c>
      <c r="I23" s="918">
        <v>16</v>
      </c>
      <c r="J23" s="918">
        <v>8</v>
      </c>
      <c r="K23" s="918">
        <v>2</v>
      </c>
      <c r="L23" s="918"/>
      <c r="M23" s="920"/>
      <c r="N23" s="52">
        <f t="shared" si="5"/>
        <v>442</v>
      </c>
      <c r="O23" s="113">
        <f t="shared" ref="O23" si="13">SUM(G23:M23)</f>
        <v>48</v>
      </c>
      <c r="P23" s="748" t="str">
        <f t="shared" ref="P23" si="14">IF(N23&gt;441,"Yes","NO")</f>
        <v>Yes</v>
      </c>
      <c r="Q23" s="50" t="str">
        <f t="shared" si="12"/>
        <v>G</v>
      </c>
      <c r="R23" s="62"/>
      <c r="S23" s="3"/>
    </row>
    <row r="24" spans="1:19" ht="15.75" x14ac:dyDescent="0.25">
      <c r="A24" s="25" t="s">
        <v>0</v>
      </c>
      <c r="B24" s="117">
        <v>1615</v>
      </c>
      <c r="C24" s="745" t="s">
        <v>48</v>
      </c>
      <c r="D24" s="38" t="s">
        <v>12</v>
      </c>
      <c r="E24" s="39" t="s">
        <v>6</v>
      </c>
      <c r="F24" s="40">
        <v>1</v>
      </c>
      <c r="G24" s="919">
        <v>7</v>
      </c>
      <c r="H24" s="919">
        <v>10</v>
      </c>
      <c r="I24" s="919">
        <v>16</v>
      </c>
      <c r="J24" s="919">
        <v>14</v>
      </c>
      <c r="K24" s="919">
        <v>1</v>
      </c>
      <c r="L24" s="919"/>
      <c r="M24" s="920"/>
      <c r="N24" s="52">
        <f t="shared" si="5"/>
        <v>433</v>
      </c>
      <c r="O24" s="113">
        <f t="shared" ref="O24" si="15">SUM(G24:M24)</f>
        <v>48</v>
      </c>
      <c r="P24" s="748" t="str">
        <f t="shared" ref="P24" si="16">IF(N24&gt;441,"Yes","NO")</f>
        <v>NO</v>
      </c>
      <c r="Q24" s="42"/>
      <c r="R24" s="62"/>
      <c r="S24" s="3"/>
    </row>
    <row r="25" spans="1:19" ht="16.5" thickBot="1" x14ac:dyDescent="0.3">
      <c r="A25" s="25" t="s">
        <v>0</v>
      </c>
      <c r="B25" s="117">
        <v>2578</v>
      </c>
      <c r="C25" s="745" t="s">
        <v>194</v>
      </c>
      <c r="D25" s="38" t="s">
        <v>10</v>
      </c>
      <c r="E25" s="39" t="s">
        <v>6</v>
      </c>
      <c r="F25" s="40"/>
      <c r="G25" s="918">
        <v>9</v>
      </c>
      <c r="H25" s="918">
        <v>10</v>
      </c>
      <c r="I25" s="918">
        <v>14</v>
      </c>
      <c r="J25" s="918">
        <v>1</v>
      </c>
      <c r="K25" s="918">
        <v>7</v>
      </c>
      <c r="L25" s="918">
        <v>0</v>
      </c>
      <c r="M25" s="920">
        <v>7</v>
      </c>
      <c r="N25" s="52">
        <f t="shared" si="5"/>
        <v>373</v>
      </c>
      <c r="O25" s="113">
        <f>SUM(G25:M25)</f>
        <v>48</v>
      </c>
      <c r="P25" s="1445" t="str">
        <f>IF(N25&gt;441,"Yes","NO")</f>
        <v>NO</v>
      </c>
      <c r="Q25" s="578"/>
      <c r="R25" s="62"/>
      <c r="S25" s="3"/>
    </row>
    <row r="26" spans="1:19" ht="15.75" x14ac:dyDescent="0.25">
      <c r="A26" s="25" t="s">
        <v>0</v>
      </c>
      <c r="B26" s="274">
        <v>2009</v>
      </c>
      <c r="C26" s="648" t="s">
        <v>234</v>
      </c>
      <c r="D26" s="27" t="s">
        <v>10</v>
      </c>
      <c r="E26" s="28" t="s">
        <v>5</v>
      </c>
      <c r="F26" s="29"/>
      <c r="G26" s="1168">
        <v>16</v>
      </c>
      <c r="H26" s="1168">
        <v>9</v>
      </c>
      <c r="I26" s="1168">
        <v>12</v>
      </c>
      <c r="J26" s="1168">
        <v>7</v>
      </c>
      <c r="K26" s="1168">
        <v>3</v>
      </c>
      <c r="L26" s="1166"/>
      <c r="M26" s="938">
        <v>1</v>
      </c>
      <c r="N26" s="34">
        <f t="shared" ref="N26:N34" si="17">(G26*10)+(H26*10)+(I26*9)+(J26*8)+(K26*7)+(L26*6)</f>
        <v>435</v>
      </c>
      <c r="O26" s="111">
        <f t="shared" ref="O26:O34" si="18">SUM(G26:M26)</f>
        <v>48</v>
      </c>
      <c r="P26" s="744" t="str">
        <f t="shared" ref="P26:P34" si="19">IF(N26&gt;441,"Yes","NO")</f>
        <v>NO</v>
      </c>
      <c r="Q26" s="42"/>
      <c r="R26" s="62"/>
      <c r="S26" s="3"/>
    </row>
    <row r="27" spans="1:19" ht="15.75" x14ac:dyDescent="0.25">
      <c r="A27" s="25" t="s">
        <v>0</v>
      </c>
      <c r="B27" s="117">
        <v>2040</v>
      </c>
      <c r="C27" s="745" t="s">
        <v>178</v>
      </c>
      <c r="D27" s="38" t="s">
        <v>11</v>
      </c>
      <c r="E27" s="39" t="s">
        <v>5</v>
      </c>
      <c r="F27" s="40"/>
      <c r="G27" s="1169">
        <v>15</v>
      </c>
      <c r="H27" s="1169">
        <v>9</v>
      </c>
      <c r="I27" s="1169">
        <v>17</v>
      </c>
      <c r="J27" s="1169">
        <v>3</v>
      </c>
      <c r="K27" s="1169">
        <v>2</v>
      </c>
      <c r="L27" s="1167"/>
      <c r="M27" s="920">
        <v>2</v>
      </c>
      <c r="N27" s="52">
        <f t="shared" si="17"/>
        <v>431</v>
      </c>
      <c r="O27" s="113">
        <f t="shared" si="18"/>
        <v>48</v>
      </c>
      <c r="P27" s="748" t="str">
        <f t="shared" si="19"/>
        <v>NO</v>
      </c>
      <c r="Q27" s="42"/>
      <c r="R27" s="62"/>
      <c r="S27" s="3"/>
    </row>
    <row r="28" spans="1:19" ht="15.75" x14ac:dyDescent="0.25">
      <c r="A28" s="25" t="s">
        <v>0</v>
      </c>
      <c r="B28" s="117">
        <v>1577</v>
      </c>
      <c r="C28" s="745" t="s">
        <v>102</v>
      </c>
      <c r="D28" s="38" t="s">
        <v>12</v>
      </c>
      <c r="E28" s="39" t="s">
        <v>5</v>
      </c>
      <c r="F28" s="40"/>
      <c r="G28" s="918">
        <v>9</v>
      </c>
      <c r="H28" s="918">
        <v>11</v>
      </c>
      <c r="I28" s="918">
        <v>17</v>
      </c>
      <c r="J28" s="918">
        <v>6</v>
      </c>
      <c r="K28" s="918">
        <v>4</v>
      </c>
      <c r="L28" s="919"/>
      <c r="M28" s="920">
        <v>1</v>
      </c>
      <c r="N28" s="52">
        <f t="shared" si="17"/>
        <v>429</v>
      </c>
      <c r="O28" s="113">
        <f t="shared" ref="O28" si="20">SUM(G28:M28)</f>
        <v>48</v>
      </c>
      <c r="P28" s="748" t="str">
        <f t="shared" ref="P28" si="21">IF(N28&gt;441,"Yes","NO")</f>
        <v>NO</v>
      </c>
      <c r="Q28" s="42"/>
      <c r="R28" s="62"/>
      <c r="S28" s="3"/>
    </row>
    <row r="29" spans="1:19" ht="15.75" x14ac:dyDescent="0.25">
      <c r="A29" s="25" t="s">
        <v>0</v>
      </c>
      <c r="B29" s="117">
        <v>1249</v>
      </c>
      <c r="C29" s="745" t="s">
        <v>216</v>
      </c>
      <c r="D29" s="38" t="s">
        <v>10</v>
      </c>
      <c r="E29" s="39" t="s">
        <v>5</v>
      </c>
      <c r="F29" s="40"/>
      <c r="G29" s="1167">
        <v>15</v>
      </c>
      <c r="H29" s="1167">
        <v>10</v>
      </c>
      <c r="I29" s="1167">
        <v>6</v>
      </c>
      <c r="J29" s="1167">
        <v>7</v>
      </c>
      <c r="K29" s="1167">
        <v>6</v>
      </c>
      <c r="L29" s="1167">
        <v>0</v>
      </c>
      <c r="M29" s="920">
        <v>4</v>
      </c>
      <c r="N29" s="52">
        <f t="shared" si="17"/>
        <v>402</v>
      </c>
      <c r="O29" s="113">
        <f t="shared" si="18"/>
        <v>48</v>
      </c>
      <c r="P29" s="748" t="str">
        <f t="shared" si="19"/>
        <v>NO</v>
      </c>
      <c r="Q29" s="42"/>
      <c r="R29" s="62"/>
      <c r="S29" s="3"/>
    </row>
    <row r="30" spans="1:19" ht="15.75" x14ac:dyDescent="0.25">
      <c r="A30" s="25" t="s">
        <v>0</v>
      </c>
      <c r="B30" s="117">
        <v>2499</v>
      </c>
      <c r="C30" s="745" t="s">
        <v>272</v>
      </c>
      <c r="D30" s="38" t="s">
        <v>12</v>
      </c>
      <c r="E30" s="39" t="s">
        <v>5</v>
      </c>
      <c r="F30" s="40"/>
      <c r="G30" s="1169">
        <v>6</v>
      </c>
      <c r="H30" s="1169">
        <v>10</v>
      </c>
      <c r="I30" s="1169">
        <v>14</v>
      </c>
      <c r="J30" s="1169">
        <v>10</v>
      </c>
      <c r="K30" s="1169">
        <v>5</v>
      </c>
      <c r="L30" s="1167"/>
      <c r="M30" s="920">
        <v>3</v>
      </c>
      <c r="N30" s="52">
        <f t="shared" si="17"/>
        <v>401</v>
      </c>
      <c r="O30" s="113">
        <f t="shared" si="18"/>
        <v>48</v>
      </c>
      <c r="P30" s="748" t="str">
        <f t="shared" si="19"/>
        <v>NO</v>
      </c>
      <c r="Q30" s="42"/>
      <c r="R30" s="62"/>
      <c r="S30" s="3"/>
    </row>
    <row r="31" spans="1:19" ht="15.75" x14ac:dyDescent="0.25">
      <c r="A31" s="25" t="s">
        <v>0</v>
      </c>
      <c r="B31" s="117">
        <v>1624</v>
      </c>
      <c r="C31" s="745" t="s">
        <v>191</v>
      </c>
      <c r="D31" s="38" t="s">
        <v>12</v>
      </c>
      <c r="E31" s="39" t="s">
        <v>5</v>
      </c>
      <c r="F31" s="40">
        <v>2</v>
      </c>
      <c r="G31" s="1167">
        <v>8</v>
      </c>
      <c r="H31" s="1167">
        <v>10</v>
      </c>
      <c r="I31" s="1167">
        <v>9</v>
      </c>
      <c r="J31" s="1167">
        <v>9</v>
      </c>
      <c r="K31" s="1167">
        <v>6</v>
      </c>
      <c r="L31" s="1167"/>
      <c r="M31" s="920">
        <v>6</v>
      </c>
      <c r="N31" s="52">
        <f t="shared" si="17"/>
        <v>375</v>
      </c>
      <c r="O31" s="113">
        <f t="shared" si="18"/>
        <v>48</v>
      </c>
      <c r="P31" s="748" t="str">
        <f t="shared" si="19"/>
        <v>NO</v>
      </c>
      <c r="Q31" s="42"/>
      <c r="R31" s="62"/>
      <c r="S31" s="3"/>
    </row>
    <row r="32" spans="1:19" ht="15.75" x14ac:dyDescent="0.25">
      <c r="A32" s="25" t="s">
        <v>0</v>
      </c>
      <c r="B32" s="117">
        <v>1850</v>
      </c>
      <c r="C32" s="745" t="s">
        <v>243</v>
      </c>
      <c r="D32" s="38" t="s">
        <v>8</v>
      </c>
      <c r="E32" s="39" t="s">
        <v>5</v>
      </c>
      <c r="F32" s="40"/>
      <c r="G32" s="1169">
        <v>9</v>
      </c>
      <c r="H32" s="1169">
        <v>10</v>
      </c>
      <c r="I32" s="1169">
        <v>10</v>
      </c>
      <c r="J32" s="1169">
        <v>5</v>
      </c>
      <c r="K32" s="1169">
        <v>4</v>
      </c>
      <c r="L32" s="1167"/>
      <c r="M32" s="920">
        <v>10</v>
      </c>
      <c r="N32" s="52">
        <f t="shared" si="17"/>
        <v>348</v>
      </c>
      <c r="O32" s="113">
        <f t="shared" ref="O32" si="22">SUM(G32:M32)</f>
        <v>48</v>
      </c>
      <c r="P32" s="748" t="str">
        <f t="shared" ref="P32" si="23">IF(N32&gt;441,"Yes","NO")</f>
        <v>NO</v>
      </c>
      <c r="Q32" s="42"/>
      <c r="R32" s="62"/>
      <c r="S32" s="3"/>
    </row>
    <row r="33" spans="1:19" ht="15.75" x14ac:dyDescent="0.25">
      <c r="A33" s="25" t="s">
        <v>0</v>
      </c>
      <c r="B33" s="117">
        <v>1983</v>
      </c>
      <c r="C33" s="745" t="s">
        <v>271</v>
      </c>
      <c r="D33" s="38" t="s">
        <v>12</v>
      </c>
      <c r="E33" s="39" t="s">
        <v>5</v>
      </c>
      <c r="F33" s="40">
        <v>1</v>
      </c>
      <c r="G33" s="919">
        <v>5</v>
      </c>
      <c r="H33" s="919">
        <v>4</v>
      </c>
      <c r="I33" s="919">
        <v>9</v>
      </c>
      <c r="J33" s="919">
        <v>13</v>
      </c>
      <c r="K33" s="919">
        <v>5</v>
      </c>
      <c r="L33" s="919"/>
      <c r="M33" s="920">
        <v>12</v>
      </c>
      <c r="N33" s="52">
        <f t="shared" si="17"/>
        <v>310</v>
      </c>
      <c r="O33" s="113">
        <f t="shared" si="18"/>
        <v>48</v>
      </c>
      <c r="P33" s="748" t="str">
        <f t="shared" si="19"/>
        <v>NO</v>
      </c>
      <c r="Q33" s="42"/>
      <c r="R33" s="62"/>
      <c r="S33" s="3"/>
    </row>
    <row r="34" spans="1:19" ht="15.75" x14ac:dyDescent="0.25">
      <c r="A34" s="25" t="s">
        <v>0</v>
      </c>
      <c r="B34" s="117" t="s">
        <v>249</v>
      </c>
      <c r="C34" s="745" t="s">
        <v>280</v>
      </c>
      <c r="D34" s="38" t="s">
        <v>8</v>
      </c>
      <c r="E34" s="39" t="s">
        <v>5</v>
      </c>
      <c r="F34" s="40"/>
      <c r="G34" s="919">
        <v>3</v>
      </c>
      <c r="H34" s="919">
        <v>7</v>
      </c>
      <c r="I34" s="919">
        <v>15</v>
      </c>
      <c r="J34" s="919">
        <v>3</v>
      </c>
      <c r="K34" s="919">
        <v>3</v>
      </c>
      <c r="L34" s="919"/>
      <c r="M34" s="920">
        <v>17</v>
      </c>
      <c r="N34" s="52">
        <f t="shared" si="17"/>
        <v>280</v>
      </c>
      <c r="O34" s="113">
        <f t="shared" si="18"/>
        <v>48</v>
      </c>
      <c r="P34" s="748" t="str">
        <f t="shared" si="19"/>
        <v>NO</v>
      </c>
      <c r="Q34" s="42"/>
      <c r="R34" s="62"/>
      <c r="S34" s="3"/>
    </row>
    <row r="35" spans="1:19" ht="16.5" thickBot="1" x14ac:dyDescent="0.3">
      <c r="A35" s="25" t="s">
        <v>0</v>
      </c>
      <c r="B35" s="77">
        <v>2502</v>
      </c>
      <c r="C35" s="942" t="s">
        <v>213</v>
      </c>
      <c r="D35" s="870" t="s">
        <v>12</v>
      </c>
      <c r="E35" s="87" t="s">
        <v>5</v>
      </c>
      <c r="F35" s="88"/>
      <c r="G35" s="927">
        <v>0</v>
      </c>
      <c r="H35" s="927">
        <v>0</v>
      </c>
      <c r="I35" s="927">
        <v>0</v>
      </c>
      <c r="J35" s="927">
        <v>0</v>
      </c>
      <c r="K35" s="927">
        <v>0</v>
      </c>
      <c r="L35" s="935"/>
      <c r="M35" s="943">
        <v>0</v>
      </c>
      <c r="N35" s="922" t="s">
        <v>262</v>
      </c>
      <c r="O35" s="923">
        <f>SUM(G35:M35)</f>
        <v>0</v>
      </c>
      <c r="P35" s="748" t="str">
        <f>IF(N35&gt;441,"Yes","NO")</f>
        <v>Yes</v>
      </c>
      <c r="Q35" s="578" t="str">
        <f t="shared" ref="Q35" si="24">IF(P35="yes","S","")</f>
        <v>S</v>
      </c>
      <c r="R35" s="749" t="str">
        <f t="shared" ref="R35" si="25">IF(N35=0," ",IF(O35&lt;&gt;48,"ERROR!"," "))</f>
        <v>ERROR!</v>
      </c>
      <c r="S35" s="3"/>
    </row>
    <row r="36" spans="1:19" ht="19.5" thickBot="1" x14ac:dyDescent="0.3">
      <c r="A36" s="3"/>
      <c r="B36" s="77">
        <f>COUNT(B8:B35)</f>
        <v>27</v>
      </c>
      <c r="C36" s="1621" t="s">
        <v>34</v>
      </c>
      <c r="D36" s="1614"/>
      <c r="E36" s="1615" t="s">
        <v>65</v>
      </c>
      <c r="F36" s="1616"/>
      <c r="G36" s="1616"/>
      <c r="H36" s="1616"/>
      <c r="I36" s="1616"/>
      <c r="J36" s="1616"/>
      <c r="K36" s="1616"/>
      <c r="L36" s="1616"/>
      <c r="M36" s="1616"/>
      <c r="N36" s="1616"/>
      <c r="O36" s="1616"/>
      <c r="P36" s="1617"/>
      <c r="Q36" s="3"/>
      <c r="R36" s="3"/>
      <c r="S36" s="3"/>
    </row>
    <row r="37" spans="1:19" ht="18.75" x14ac:dyDescent="0.25">
      <c r="A37" s="3"/>
      <c r="B37" s="5"/>
      <c r="C37" s="582"/>
      <c r="D37" s="582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3"/>
      <c r="R37" s="3"/>
      <c r="S37" s="3"/>
    </row>
    <row r="38" spans="1:19" ht="12" customHeight="1" thickBot="1" x14ac:dyDescent="0.3"/>
    <row r="39" spans="1:19" ht="25.5" customHeight="1" thickBot="1" x14ac:dyDescent="0.3">
      <c r="A39" s="3"/>
      <c r="B39" s="1601" t="s">
        <v>66</v>
      </c>
      <c r="C39" s="1602"/>
      <c r="D39" s="1602"/>
      <c r="E39" s="1602"/>
      <c r="F39" s="1602"/>
      <c r="G39" s="1602"/>
      <c r="H39" s="1602"/>
      <c r="I39" s="1602"/>
      <c r="J39" s="1602"/>
      <c r="K39" s="1602"/>
      <c r="L39" s="1602"/>
      <c r="M39" s="1602"/>
      <c r="N39" s="1602"/>
      <c r="O39" s="1602"/>
      <c r="P39" s="1602"/>
      <c r="Q39" s="1602"/>
      <c r="R39" s="1603"/>
    </row>
    <row r="40" spans="1:19" ht="32.25" thickBot="1" x14ac:dyDescent="0.3">
      <c r="A40" s="3"/>
      <c r="B40" s="15" t="s">
        <v>157</v>
      </c>
      <c r="C40" s="16" t="s">
        <v>18</v>
      </c>
      <c r="D40" s="17" t="s">
        <v>19</v>
      </c>
      <c r="E40" s="124" t="s">
        <v>20</v>
      </c>
      <c r="F40" s="18"/>
      <c r="G40" s="95" t="s">
        <v>21</v>
      </c>
      <c r="H40" s="19">
        <v>10</v>
      </c>
      <c r="I40" s="19">
        <v>9</v>
      </c>
      <c r="J40" s="19">
        <v>8</v>
      </c>
      <c r="K40" s="20">
        <v>7</v>
      </c>
      <c r="L40" s="20">
        <v>6</v>
      </c>
      <c r="M40" s="92">
        <v>0</v>
      </c>
      <c r="N40" s="125" t="s">
        <v>22</v>
      </c>
      <c r="O40" s="94" t="s">
        <v>42</v>
      </c>
      <c r="P40" s="23" t="s">
        <v>24</v>
      </c>
      <c r="Q40" s="15" t="s">
        <v>25</v>
      </c>
      <c r="R40" s="24" t="s">
        <v>26</v>
      </c>
    </row>
    <row r="41" spans="1:19" ht="16.5" thickBot="1" x14ac:dyDescent="0.3">
      <c r="A41" s="25" t="s">
        <v>67</v>
      </c>
      <c r="B41" s="868">
        <v>2144</v>
      </c>
      <c r="C41" s="1344" t="s">
        <v>45</v>
      </c>
      <c r="D41" s="945" t="s">
        <v>12</v>
      </c>
      <c r="E41" s="946" t="s">
        <v>4</v>
      </c>
      <c r="F41" s="67" t="e">
        <f t="shared" ref="F41:F43" si="26">VLOOKUP(E41,$Y$6:$Z$7,2,FALSE)</f>
        <v>#N/A</v>
      </c>
      <c r="G41" s="1345">
        <v>6</v>
      </c>
      <c r="H41" s="1345">
        <v>14</v>
      </c>
      <c r="I41" s="1345">
        <v>14</v>
      </c>
      <c r="J41" s="1345">
        <v>9</v>
      </c>
      <c r="K41" s="1345">
        <v>5</v>
      </c>
      <c r="L41" s="1345"/>
      <c r="M41" s="1346"/>
      <c r="N41" s="1095">
        <f t="shared" ref="N41:N43" si="27">(G41*10)+(H41*10)+(I41*9)+(J41*8)+(K41*7)+(L41*6)</f>
        <v>433</v>
      </c>
      <c r="O41" s="98">
        <f t="shared" ref="O41" si="28">SUM(G41:M41)</f>
        <v>48</v>
      </c>
      <c r="P41" s="947" t="str">
        <f t="shared" ref="P41" si="29">IF(N41&gt;460,"Yes","NO")</f>
        <v>NO</v>
      </c>
      <c r="Q41" s="820" t="str">
        <f t="shared" ref="Q41" si="30">IF(P41="yes","M","")</f>
        <v/>
      </c>
      <c r="R41" s="948" t="str">
        <f t="shared" ref="R41:R43" si="31">IF(N41=0," ",IF(O41&lt;&gt;48,"ERROR!"," "))</f>
        <v xml:space="preserve"> </v>
      </c>
    </row>
    <row r="42" spans="1:19" ht="15.75" x14ac:dyDescent="0.25">
      <c r="A42" s="25" t="s">
        <v>67</v>
      </c>
      <c r="B42" s="548">
        <v>1982</v>
      </c>
      <c r="C42" s="1340" t="s">
        <v>73</v>
      </c>
      <c r="D42" s="38" t="s">
        <v>12</v>
      </c>
      <c r="E42" s="39" t="s">
        <v>5</v>
      </c>
      <c r="F42" s="40" t="e">
        <f t="shared" si="26"/>
        <v>#N/A</v>
      </c>
      <c r="G42" s="919">
        <v>6</v>
      </c>
      <c r="H42" s="919">
        <v>6</v>
      </c>
      <c r="I42" s="919">
        <v>12</v>
      </c>
      <c r="J42" s="919">
        <v>5</v>
      </c>
      <c r="K42" s="919">
        <v>5</v>
      </c>
      <c r="L42" s="919"/>
      <c r="M42" s="1341">
        <v>14</v>
      </c>
      <c r="N42" s="1342">
        <f t="shared" ref="N42" si="32">(G42*10)+(H42*10)+(I42*9)+(J42*8)+(K42*7)+(L42*6)</f>
        <v>303</v>
      </c>
      <c r="O42" s="1343">
        <f>SUM(G42:M42)</f>
        <v>48</v>
      </c>
      <c r="P42" s="118" t="str">
        <f>IF(N42&gt;441,"Yes","NO")</f>
        <v>NO</v>
      </c>
      <c r="Q42" s="554"/>
      <c r="R42" s="555"/>
    </row>
    <row r="43" spans="1:19" ht="16.5" thickBot="1" x14ac:dyDescent="0.3">
      <c r="A43" s="25" t="s">
        <v>67</v>
      </c>
      <c r="B43" s="842">
        <v>1615</v>
      </c>
      <c r="C43" s="869" t="s">
        <v>185</v>
      </c>
      <c r="D43" s="870" t="s">
        <v>12</v>
      </c>
      <c r="E43" s="87" t="s">
        <v>5</v>
      </c>
      <c r="F43" s="88" t="e">
        <f t="shared" si="26"/>
        <v>#N/A</v>
      </c>
      <c r="G43" s="927">
        <v>6</v>
      </c>
      <c r="H43" s="927">
        <v>2</v>
      </c>
      <c r="I43" s="927">
        <v>9</v>
      </c>
      <c r="J43" s="927">
        <v>10</v>
      </c>
      <c r="K43" s="927">
        <v>7</v>
      </c>
      <c r="L43" s="927"/>
      <c r="M43" s="936">
        <v>14</v>
      </c>
      <c r="N43" s="874">
        <f t="shared" si="27"/>
        <v>290</v>
      </c>
      <c r="O43" s="817">
        <f>SUM(G43:M43)</f>
        <v>48</v>
      </c>
      <c r="P43" s="518" t="str">
        <f>IF(N43&gt;412,"Yes","NO")</f>
        <v>NO</v>
      </c>
      <c r="Q43" s="871" t="str">
        <f>IF(P43="yes","S","")</f>
        <v/>
      </c>
      <c r="R43" s="616" t="str">
        <f t="shared" si="31"/>
        <v xml:space="preserve"> </v>
      </c>
    </row>
    <row r="44" spans="1:19" ht="19.5" thickBot="1" x14ac:dyDescent="0.3">
      <c r="A44" s="3"/>
      <c r="B44" s="77">
        <f>COUNT(B41:B43)</f>
        <v>3</v>
      </c>
      <c r="C44" s="1613" t="s">
        <v>34</v>
      </c>
      <c r="D44" s="1614"/>
      <c r="E44" s="1615" t="s">
        <v>65</v>
      </c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3"/>
      <c r="R44" s="3"/>
    </row>
  </sheetData>
  <sortState ref="B29:N32">
    <sortCondition descending="1" ref="N29"/>
  </sortState>
  <mergeCells count="8">
    <mergeCell ref="C44:D44"/>
    <mergeCell ref="E44:P44"/>
    <mergeCell ref="B6:R6"/>
    <mergeCell ref="B39:R39"/>
    <mergeCell ref="A2:S2"/>
    <mergeCell ref="B4:S4"/>
    <mergeCell ref="C36:D36"/>
    <mergeCell ref="E36:P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8"/>
  <sheetViews>
    <sheetView topLeftCell="A7" zoomScale="90" zoomScaleNormal="90" workbookViewId="0">
      <selection activeCell="S24" sqref="S24"/>
    </sheetView>
  </sheetViews>
  <sheetFormatPr defaultRowHeight="15" x14ac:dyDescent="0.25"/>
  <cols>
    <col min="1" max="1" width="5.5703125" customWidth="1"/>
    <col min="2" max="2" width="6" customWidth="1"/>
    <col min="3" max="3" width="27" customWidth="1"/>
    <col min="6" max="6" width="0" hidden="1" customWidth="1"/>
  </cols>
  <sheetData>
    <row r="1" spans="1:24" ht="24" thickBot="1" x14ac:dyDescent="0.3">
      <c r="A1" s="1587" t="s">
        <v>206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9"/>
    </row>
    <row r="2" spans="1:24" ht="16.5" thickBot="1" x14ac:dyDescent="0.3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4"/>
      <c r="P2" s="10"/>
      <c r="Q2" s="3"/>
      <c r="R2" s="3"/>
    </row>
    <row r="3" spans="1:24" ht="24" thickBot="1" x14ac:dyDescent="0.3">
      <c r="A3" s="11"/>
      <c r="B3" s="1627" t="s">
        <v>15</v>
      </c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9"/>
    </row>
    <row r="4" spans="1:24" ht="32.25" customHeight="1" thickBot="1" x14ac:dyDescent="0.3">
      <c r="A4" s="3"/>
      <c r="B4" s="1601" t="s">
        <v>68</v>
      </c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3"/>
    </row>
    <row r="5" spans="1:24" ht="32.25" thickBot="1" x14ac:dyDescent="0.3">
      <c r="A5" s="3"/>
      <c r="B5" s="306" t="s">
        <v>157</v>
      </c>
      <c r="C5" s="68" t="s">
        <v>18</v>
      </c>
      <c r="D5" s="837" t="s">
        <v>19</v>
      </c>
      <c r="E5" s="835" t="s">
        <v>20</v>
      </c>
      <c r="F5" s="67"/>
      <c r="G5" s="270" t="s">
        <v>21</v>
      </c>
      <c r="H5" s="270">
        <v>10</v>
      </c>
      <c r="I5" s="270">
        <v>9</v>
      </c>
      <c r="J5" s="270">
        <v>8</v>
      </c>
      <c r="K5" s="270">
        <v>7</v>
      </c>
      <c r="L5" s="271">
        <v>6</v>
      </c>
      <c r="M5" s="272">
        <v>5</v>
      </c>
      <c r="N5" s="141">
        <v>0</v>
      </c>
      <c r="O5" s="838" t="s">
        <v>22</v>
      </c>
      <c r="P5" s="731" t="s">
        <v>42</v>
      </c>
      <c r="Q5" s="620" t="s">
        <v>24</v>
      </c>
      <c r="R5" s="18" t="s">
        <v>25</v>
      </c>
      <c r="S5" s="24" t="s">
        <v>26</v>
      </c>
    </row>
    <row r="6" spans="1:24" ht="19.5" thickBot="1" x14ac:dyDescent="0.3">
      <c r="A6" s="25" t="s">
        <v>69</v>
      </c>
      <c r="B6" s="274">
        <v>1786</v>
      </c>
      <c r="C6" s="648" t="s">
        <v>172</v>
      </c>
      <c r="D6" s="23" t="s">
        <v>12</v>
      </c>
      <c r="E6" s="275" t="s">
        <v>13</v>
      </c>
      <c r="F6" s="29"/>
      <c r="G6" s="1171">
        <v>7</v>
      </c>
      <c r="H6" s="1171">
        <v>17</v>
      </c>
      <c r="I6" s="1171">
        <v>6</v>
      </c>
      <c r="J6" s="1171"/>
      <c r="K6" s="1174"/>
      <c r="L6" s="1175"/>
      <c r="M6" s="1176"/>
      <c r="N6" s="1177"/>
      <c r="O6" s="149">
        <f t="shared" ref="O6:O9" si="0">(G6*10)+(H6*10)+(I6*9)+(J6*8)+(K6*7)+(L6*6)+(M6*5)</f>
        <v>294</v>
      </c>
      <c r="P6" s="619">
        <f t="shared" ref="P6" si="1">SUM(G6:N6)</f>
        <v>30</v>
      </c>
      <c r="Q6" s="620"/>
      <c r="R6" s="821"/>
      <c r="S6" s="822"/>
    </row>
    <row r="7" spans="1:24" ht="19.5" thickBot="1" x14ac:dyDescent="0.3">
      <c r="A7" s="25" t="s">
        <v>69</v>
      </c>
      <c r="B7" s="90">
        <v>1266</v>
      </c>
      <c r="C7" s="570" t="s">
        <v>223</v>
      </c>
      <c r="D7" s="90" t="s">
        <v>11</v>
      </c>
      <c r="E7" s="282" t="s">
        <v>13</v>
      </c>
      <c r="F7" s="40"/>
      <c r="G7" s="1172">
        <v>5</v>
      </c>
      <c r="H7" s="1172">
        <v>13</v>
      </c>
      <c r="I7" s="1172">
        <v>12</v>
      </c>
      <c r="J7" s="1172"/>
      <c r="K7" s="1178"/>
      <c r="L7" s="1179"/>
      <c r="M7" s="1180"/>
      <c r="N7" s="1181"/>
      <c r="O7" s="185">
        <f t="shared" si="0"/>
        <v>288</v>
      </c>
      <c r="P7" s="836">
        <f t="shared" ref="P7" si="2">SUM(G7:N7)</f>
        <v>30</v>
      </c>
      <c r="Q7" s="620"/>
      <c r="R7" s="821"/>
      <c r="S7" s="822"/>
    </row>
    <row r="8" spans="1:24" ht="18.75" x14ac:dyDescent="0.25">
      <c r="A8" s="25" t="s">
        <v>69</v>
      </c>
      <c r="B8" s="161">
        <v>1783</v>
      </c>
      <c r="C8" s="61" t="s">
        <v>181</v>
      </c>
      <c r="D8" s="145" t="s">
        <v>11</v>
      </c>
      <c r="E8" s="908" t="s">
        <v>3</v>
      </c>
      <c r="F8" s="29" t="e">
        <f>VLOOKUP(E8,$X$8:$Y$8,2,FALSE)</f>
        <v>#N/A</v>
      </c>
      <c r="G8" s="1182">
        <v>10</v>
      </c>
      <c r="H8" s="1182">
        <v>14</v>
      </c>
      <c r="I8" s="1182">
        <v>6</v>
      </c>
      <c r="J8" s="1182"/>
      <c r="K8" s="1182"/>
      <c r="L8" s="1183"/>
      <c r="M8" s="1183"/>
      <c r="N8" s="1184"/>
      <c r="O8" s="149">
        <f t="shared" si="0"/>
        <v>294</v>
      </c>
      <c r="P8" s="619">
        <f t="shared" ref="P8:P20" si="3">SUM(G8:N8)</f>
        <v>30</v>
      </c>
      <c r="Q8" s="399" t="str">
        <f t="shared" ref="Q8" si="4">IF(O8&gt;296,"Yes","NO")</f>
        <v>NO</v>
      </c>
      <c r="R8" s="873"/>
      <c r="S8" s="742" t="str">
        <f>IF(O8=0," ",IF(P8&lt;&gt;30,"ERROR!"," "))</f>
        <v xml:space="preserve"> </v>
      </c>
    </row>
    <row r="9" spans="1:24" ht="19.5" thickBot="1" x14ac:dyDescent="0.3">
      <c r="A9" s="25" t="s">
        <v>69</v>
      </c>
      <c r="B9" s="158">
        <v>169</v>
      </c>
      <c r="C9" s="105" t="s">
        <v>170</v>
      </c>
      <c r="D9" s="105" t="s">
        <v>7</v>
      </c>
      <c r="E9" s="981" t="s">
        <v>3</v>
      </c>
      <c r="F9" s="57" t="e">
        <f>VLOOKUP(E9,$X$8:$Y$8,2,FALSE)</f>
        <v>#N/A</v>
      </c>
      <c r="G9" s="1185">
        <v>9</v>
      </c>
      <c r="H9" s="1185">
        <v>12</v>
      </c>
      <c r="I9" s="1185">
        <v>6</v>
      </c>
      <c r="J9" s="1185">
        <v>3</v>
      </c>
      <c r="K9" s="1185"/>
      <c r="L9" s="1186"/>
      <c r="M9" s="1186"/>
      <c r="N9" s="1187"/>
      <c r="O9" s="160">
        <f t="shared" si="0"/>
        <v>288</v>
      </c>
      <c r="P9" s="983">
        <f t="shared" si="3"/>
        <v>30</v>
      </c>
      <c r="Q9" s="121" t="str">
        <f>IF(O9&gt;296,"Yes","NO")</f>
        <v>NO</v>
      </c>
      <c r="R9" s="122"/>
      <c r="S9" s="110"/>
    </row>
    <row r="10" spans="1:24" ht="18.75" x14ac:dyDescent="0.25">
      <c r="A10" s="25" t="s">
        <v>69</v>
      </c>
      <c r="B10" s="234">
        <v>1475</v>
      </c>
      <c r="C10" s="129" t="s">
        <v>30</v>
      </c>
      <c r="D10" s="132" t="s">
        <v>10</v>
      </c>
      <c r="E10" s="913" t="s">
        <v>4</v>
      </c>
      <c r="F10" s="65" t="e">
        <f>VLOOKUP(E10,$X$8:$Y$8,2,FALSE)</f>
        <v>#N/A</v>
      </c>
      <c r="G10" s="1188">
        <v>9</v>
      </c>
      <c r="H10" s="1188">
        <v>16</v>
      </c>
      <c r="I10" s="1188">
        <v>4</v>
      </c>
      <c r="J10" s="1188">
        <v>1</v>
      </c>
      <c r="K10" s="1188"/>
      <c r="L10" s="1189"/>
      <c r="M10" s="1189"/>
      <c r="N10" s="1190"/>
      <c r="O10" s="562">
        <f t="shared" ref="O10:O11" si="5">(G10*10)+(H10*10)+(I10*9)+(J10*8)+(K10*7)+(L10*6)+(M10*5)</f>
        <v>294</v>
      </c>
      <c r="P10" s="563">
        <f>SUM(G10:N10)</f>
        <v>30</v>
      </c>
      <c r="Q10" s="118" t="str">
        <f>IF(O10&gt;296,"Yes","NO")</f>
        <v>NO</v>
      </c>
      <c r="R10" s="119"/>
      <c r="S10" s="169" t="str">
        <f>IF(O10=0," ",IF(P10&lt;&gt;30,"ERROR!"," "))</f>
        <v xml:space="preserve"> </v>
      </c>
    </row>
    <row r="11" spans="1:24" ht="19.5" thickBot="1" x14ac:dyDescent="0.3">
      <c r="A11" s="25" t="s">
        <v>69</v>
      </c>
      <c r="B11" s="151">
        <v>1041</v>
      </c>
      <c r="C11" s="71" t="s">
        <v>202</v>
      </c>
      <c r="D11" s="71" t="s">
        <v>11</v>
      </c>
      <c r="E11" s="73" t="s">
        <v>4</v>
      </c>
      <c r="F11" s="48" t="e">
        <f>VLOOKUP(E11,$X$8:$Y$8,2,FALSE)</f>
        <v>#N/A</v>
      </c>
      <c r="G11" s="1191">
        <v>8</v>
      </c>
      <c r="H11" s="1191">
        <v>14</v>
      </c>
      <c r="I11" s="1191">
        <v>8</v>
      </c>
      <c r="J11" s="1191"/>
      <c r="K11" s="1191"/>
      <c r="L11" s="1192"/>
      <c r="M11" s="1192"/>
      <c r="N11" s="1193"/>
      <c r="O11" s="155">
        <f t="shared" si="5"/>
        <v>292</v>
      </c>
      <c r="P11" s="156">
        <f t="shared" si="3"/>
        <v>30</v>
      </c>
      <c r="Q11" s="162" t="str">
        <f>IF(O11&gt;296,"Yes","NO")</f>
        <v>NO</v>
      </c>
      <c r="R11" s="163" t="str">
        <f>IF(Q11="yes","HM","")</f>
        <v/>
      </c>
      <c r="S11" s="128" t="str">
        <f>IF(O11=0," ",IF(P11&lt;&gt;30,"ERROR!"," "))</f>
        <v xml:space="preserve"> </v>
      </c>
      <c r="U11" s="839"/>
      <c r="V11" s="839"/>
      <c r="W11" s="839"/>
      <c r="X11" s="839"/>
    </row>
    <row r="12" spans="1:24" ht="18.75" x14ac:dyDescent="0.25">
      <c r="A12" s="25" t="s">
        <v>69</v>
      </c>
      <c r="B12" s="161">
        <v>1465</v>
      </c>
      <c r="C12" s="61" t="s">
        <v>244</v>
      </c>
      <c r="D12" s="145" t="s">
        <v>12</v>
      </c>
      <c r="E12" s="28" t="s">
        <v>6</v>
      </c>
      <c r="F12" s="29"/>
      <c r="G12" s="1182">
        <v>8</v>
      </c>
      <c r="H12" s="1182">
        <v>11</v>
      </c>
      <c r="I12" s="1182">
        <v>10</v>
      </c>
      <c r="J12" s="1182">
        <v>1</v>
      </c>
      <c r="K12" s="1182"/>
      <c r="L12" s="1183"/>
      <c r="M12" s="1183"/>
      <c r="N12" s="1184"/>
      <c r="O12" s="149">
        <f t="shared" ref="O12:O21" si="6">(G12*10)+(H12*10)+(I12*9)+(J12*8)+(K12*7)+(L12*6)+(M12*5)</f>
        <v>288</v>
      </c>
      <c r="P12" s="150">
        <f t="shared" si="3"/>
        <v>30</v>
      </c>
      <c r="Q12" s="617" t="str">
        <f>IF(O12&gt;289,"Yes","NO")</f>
        <v>NO</v>
      </c>
      <c r="R12" s="741" t="str">
        <f>IF(Q12="yes","G","")</f>
        <v/>
      </c>
      <c r="S12" s="633" t="str">
        <f>IF(O12=0," ",IF(P12&lt;&gt;30,"ERROR!"," "))</f>
        <v xml:space="preserve"> </v>
      </c>
    </row>
    <row r="13" spans="1:24" ht="18.75" x14ac:dyDescent="0.25">
      <c r="A13" s="25" t="s">
        <v>69</v>
      </c>
      <c r="B13" s="157">
        <v>1784</v>
      </c>
      <c r="C13" s="72" t="s">
        <v>177</v>
      </c>
      <c r="D13" s="127" t="s">
        <v>11</v>
      </c>
      <c r="E13" s="47" t="s">
        <v>6</v>
      </c>
      <c r="F13" s="48">
        <v>1</v>
      </c>
      <c r="G13" s="1191">
        <v>8</v>
      </c>
      <c r="H13" s="1191">
        <v>13</v>
      </c>
      <c r="I13" s="1191">
        <v>5</v>
      </c>
      <c r="J13" s="1191">
        <v>4</v>
      </c>
      <c r="K13" s="1191"/>
      <c r="L13" s="1192"/>
      <c r="M13" s="1192"/>
      <c r="N13" s="1193"/>
      <c r="O13" s="155">
        <f t="shared" si="6"/>
        <v>287</v>
      </c>
      <c r="P13" s="156">
        <f t="shared" si="3"/>
        <v>30</v>
      </c>
      <c r="Q13" s="164" t="str">
        <f t="shared" ref="Q13:Q20" si="7">IF(O13&gt;289,"Yes","NO")</f>
        <v>NO</v>
      </c>
      <c r="R13" s="165" t="str">
        <f t="shared" ref="R13:R20" si="8">IF(Q13="yes","G","")</f>
        <v/>
      </c>
      <c r="S13" s="128" t="str">
        <f t="shared" ref="S13:S20" si="9">IF(O13=0," ",IF(P13&lt;&gt;30,"ERROR!"," "))</f>
        <v xml:space="preserve"> </v>
      </c>
    </row>
    <row r="14" spans="1:24" ht="18.75" x14ac:dyDescent="0.25">
      <c r="A14" s="25" t="s">
        <v>69</v>
      </c>
      <c r="B14" s="157">
        <v>1798</v>
      </c>
      <c r="C14" s="72" t="s">
        <v>70</v>
      </c>
      <c r="D14" s="127" t="s">
        <v>7</v>
      </c>
      <c r="E14" s="73" t="s">
        <v>6</v>
      </c>
      <c r="F14" s="48" t="e">
        <f>VLOOKUP(E14,$X$8:$Y$8,2,FALSE)</f>
        <v>#N/A</v>
      </c>
      <c r="G14" s="1188">
        <v>6</v>
      </c>
      <c r="H14" s="1188">
        <v>10</v>
      </c>
      <c r="I14" s="1188">
        <v>12</v>
      </c>
      <c r="J14" s="1188">
        <v>2</v>
      </c>
      <c r="K14" s="1191"/>
      <c r="L14" s="1192"/>
      <c r="M14" s="1192"/>
      <c r="N14" s="1193"/>
      <c r="O14" s="155">
        <f t="shared" si="6"/>
        <v>284</v>
      </c>
      <c r="P14" s="156">
        <f>SUM(G14:N14)</f>
        <v>30</v>
      </c>
      <c r="Q14" s="164" t="str">
        <f t="shared" si="7"/>
        <v>NO</v>
      </c>
      <c r="R14" s="165" t="str">
        <f t="shared" si="8"/>
        <v/>
      </c>
      <c r="S14" s="128" t="str">
        <f t="shared" si="9"/>
        <v xml:space="preserve"> </v>
      </c>
    </row>
    <row r="15" spans="1:24" ht="18.75" x14ac:dyDescent="0.25">
      <c r="A15" s="25" t="s">
        <v>69</v>
      </c>
      <c r="B15" s="151">
        <v>1477</v>
      </c>
      <c r="C15" s="71" t="s">
        <v>50</v>
      </c>
      <c r="D15" s="71" t="s">
        <v>12</v>
      </c>
      <c r="E15" s="47" t="s">
        <v>6</v>
      </c>
      <c r="F15" s="48" t="e">
        <f>VLOOKUP(E15,$X$8:$Y$8,2,FALSE)</f>
        <v>#N/A</v>
      </c>
      <c r="G15" s="1191">
        <v>8</v>
      </c>
      <c r="H15" s="1191">
        <v>9</v>
      </c>
      <c r="I15" s="1191">
        <v>9</v>
      </c>
      <c r="J15" s="1191">
        <v>4</v>
      </c>
      <c r="K15" s="1191"/>
      <c r="L15" s="1192"/>
      <c r="M15" s="1192"/>
      <c r="N15" s="1193"/>
      <c r="O15" s="155">
        <f t="shared" si="6"/>
        <v>283</v>
      </c>
      <c r="P15" s="156">
        <f t="shared" si="3"/>
        <v>30</v>
      </c>
      <c r="Q15" s="164" t="str">
        <f t="shared" si="7"/>
        <v>NO</v>
      </c>
      <c r="R15" s="165" t="str">
        <f t="shared" si="8"/>
        <v/>
      </c>
      <c r="S15" s="128" t="str">
        <f t="shared" si="9"/>
        <v xml:space="preserve"> </v>
      </c>
    </row>
    <row r="16" spans="1:24" ht="18.75" x14ac:dyDescent="0.25">
      <c r="A16" s="25" t="s">
        <v>69</v>
      </c>
      <c r="B16" s="151">
        <v>1901</v>
      </c>
      <c r="C16" s="71" t="s">
        <v>38</v>
      </c>
      <c r="D16" s="127" t="s">
        <v>11</v>
      </c>
      <c r="E16" s="47" t="s">
        <v>6</v>
      </c>
      <c r="F16" s="48" t="e">
        <f>VLOOKUP(E16,$X$8:$Y$8,2,FALSE)</f>
        <v>#N/A</v>
      </c>
      <c r="G16" s="1188">
        <v>3</v>
      </c>
      <c r="H16" s="1188">
        <v>9</v>
      </c>
      <c r="I16" s="1188">
        <v>16</v>
      </c>
      <c r="J16" s="1188">
        <v>2</v>
      </c>
      <c r="K16" s="1191"/>
      <c r="L16" s="1192"/>
      <c r="M16" s="1192"/>
      <c r="N16" s="1193"/>
      <c r="O16" s="155">
        <f t="shared" si="6"/>
        <v>280</v>
      </c>
      <c r="P16" s="156">
        <f t="shared" si="3"/>
        <v>30</v>
      </c>
      <c r="Q16" s="164" t="str">
        <f t="shared" si="7"/>
        <v>NO</v>
      </c>
      <c r="R16" s="165" t="str">
        <f t="shared" si="8"/>
        <v/>
      </c>
      <c r="S16" s="128" t="str">
        <f t="shared" si="9"/>
        <v xml:space="preserve"> </v>
      </c>
    </row>
    <row r="17" spans="1:26" ht="18.75" x14ac:dyDescent="0.25">
      <c r="A17" s="25" t="s">
        <v>69</v>
      </c>
      <c r="B17" s="151">
        <v>1799</v>
      </c>
      <c r="C17" s="71" t="s">
        <v>180</v>
      </c>
      <c r="D17" s="127" t="s">
        <v>11</v>
      </c>
      <c r="E17" s="47" t="s">
        <v>6</v>
      </c>
      <c r="F17" s="48">
        <v>2</v>
      </c>
      <c r="G17" s="1188">
        <v>2</v>
      </c>
      <c r="H17" s="1188">
        <v>7</v>
      </c>
      <c r="I17" s="1188">
        <v>18</v>
      </c>
      <c r="J17" s="1188">
        <v>2</v>
      </c>
      <c r="K17" s="1191">
        <v>1</v>
      </c>
      <c r="L17" s="1192"/>
      <c r="M17" s="1192"/>
      <c r="N17" s="1193"/>
      <c r="O17" s="155">
        <f t="shared" si="6"/>
        <v>275</v>
      </c>
      <c r="P17" s="156">
        <f t="shared" ref="P17" si="10">SUM(G17:N17)</f>
        <v>30</v>
      </c>
      <c r="Q17" s="164" t="str">
        <f t="shared" ref="Q17" si="11">IF(O17&gt;289,"Yes","NO")</f>
        <v>NO</v>
      </c>
      <c r="R17" s="165"/>
      <c r="S17" s="128"/>
    </row>
    <row r="18" spans="1:26" ht="18.75" x14ac:dyDescent="0.25">
      <c r="A18" s="25" t="s">
        <v>69</v>
      </c>
      <c r="B18" s="151">
        <v>638</v>
      </c>
      <c r="C18" s="71" t="s">
        <v>199</v>
      </c>
      <c r="D18" s="127" t="s">
        <v>12</v>
      </c>
      <c r="E18" s="47" t="s">
        <v>6</v>
      </c>
      <c r="F18" s="48"/>
      <c r="G18" s="1188">
        <v>4</v>
      </c>
      <c r="H18" s="1188">
        <v>10</v>
      </c>
      <c r="I18" s="1188">
        <v>10</v>
      </c>
      <c r="J18" s="1188">
        <v>3</v>
      </c>
      <c r="K18" s="1191">
        <v>2</v>
      </c>
      <c r="L18" s="1192">
        <v>1</v>
      </c>
      <c r="M18" s="1192"/>
      <c r="N18" s="1193"/>
      <c r="O18" s="155">
        <f t="shared" si="6"/>
        <v>274</v>
      </c>
      <c r="P18" s="156">
        <f t="shared" ref="P18" si="12">SUM(G18:N18)</f>
        <v>30</v>
      </c>
      <c r="Q18" s="164" t="str">
        <f t="shared" ref="Q18" si="13">IF(O18&gt;289,"Yes","NO")</f>
        <v>NO</v>
      </c>
      <c r="R18" s="165"/>
      <c r="S18" s="128"/>
    </row>
    <row r="19" spans="1:26" ht="18.75" x14ac:dyDescent="0.25">
      <c r="A19" s="25" t="s">
        <v>69</v>
      </c>
      <c r="B19" s="151">
        <v>1268</v>
      </c>
      <c r="C19" s="71" t="s">
        <v>168</v>
      </c>
      <c r="D19" s="127" t="s">
        <v>8</v>
      </c>
      <c r="E19" s="47" t="s">
        <v>6</v>
      </c>
      <c r="F19" s="48"/>
      <c r="G19" s="1188">
        <v>7</v>
      </c>
      <c r="H19" s="1188">
        <v>6</v>
      </c>
      <c r="I19" s="1188">
        <v>9</v>
      </c>
      <c r="J19" s="1188">
        <v>6</v>
      </c>
      <c r="K19" s="1191">
        <v>2</v>
      </c>
      <c r="L19" s="1192"/>
      <c r="M19" s="1192"/>
      <c r="N19" s="1193"/>
      <c r="O19" s="155">
        <f t="shared" si="6"/>
        <v>273</v>
      </c>
      <c r="P19" s="156">
        <f t="shared" si="3"/>
        <v>30</v>
      </c>
      <c r="Q19" s="164" t="str">
        <f t="shared" si="7"/>
        <v>NO</v>
      </c>
      <c r="R19" s="165" t="str">
        <f t="shared" si="8"/>
        <v/>
      </c>
      <c r="S19" s="128" t="str">
        <f t="shared" si="9"/>
        <v xml:space="preserve"> </v>
      </c>
    </row>
    <row r="20" spans="1:26" ht="18.75" x14ac:dyDescent="0.25">
      <c r="A20" s="25" t="s">
        <v>69</v>
      </c>
      <c r="B20" s="157">
        <v>2144</v>
      </c>
      <c r="C20" s="72" t="s">
        <v>245</v>
      </c>
      <c r="D20" s="127" t="s">
        <v>12</v>
      </c>
      <c r="E20" s="73" t="s">
        <v>6</v>
      </c>
      <c r="F20" s="48">
        <v>1</v>
      </c>
      <c r="G20" s="1173">
        <v>0</v>
      </c>
      <c r="H20" s="1173">
        <v>5</v>
      </c>
      <c r="I20" s="1173">
        <v>11</v>
      </c>
      <c r="J20" s="1173">
        <v>11</v>
      </c>
      <c r="K20" s="1191">
        <v>1</v>
      </c>
      <c r="L20" s="1192">
        <v>1</v>
      </c>
      <c r="M20" s="1192"/>
      <c r="N20" s="1193">
        <v>1</v>
      </c>
      <c r="O20" s="155">
        <f t="shared" si="6"/>
        <v>250</v>
      </c>
      <c r="P20" s="156">
        <f t="shared" si="3"/>
        <v>30</v>
      </c>
      <c r="Q20" s="164" t="str">
        <f t="shared" si="7"/>
        <v>NO</v>
      </c>
      <c r="R20" s="165" t="str">
        <f t="shared" si="8"/>
        <v/>
      </c>
      <c r="S20" s="128" t="str">
        <f t="shared" si="9"/>
        <v xml:space="preserve"> </v>
      </c>
    </row>
    <row r="21" spans="1:26" ht="19.5" thickBot="1" x14ac:dyDescent="0.3">
      <c r="A21" s="25" t="s">
        <v>69</v>
      </c>
      <c r="B21" s="182">
        <v>1767</v>
      </c>
      <c r="C21" s="86" t="s">
        <v>224</v>
      </c>
      <c r="D21" s="183" t="s">
        <v>11</v>
      </c>
      <c r="E21" s="926" t="s">
        <v>6</v>
      </c>
      <c r="F21" s="88"/>
      <c r="G21" s="1401">
        <v>1</v>
      </c>
      <c r="H21" s="1401">
        <v>5</v>
      </c>
      <c r="I21" s="1401">
        <v>8</v>
      </c>
      <c r="J21" s="1401">
        <v>5</v>
      </c>
      <c r="K21" s="1194">
        <v>7</v>
      </c>
      <c r="L21" s="1195">
        <v>1</v>
      </c>
      <c r="M21" s="1195"/>
      <c r="N21" s="1196">
        <v>3</v>
      </c>
      <c r="O21" s="876">
        <f t="shared" si="6"/>
        <v>227</v>
      </c>
      <c r="P21" s="949">
        <f t="shared" ref="P21" si="14">SUM(G21:N21)</f>
        <v>30</v>
      </c>
      <c r="Q21" s="518" t="str">
        <f t="shared" ref="Q21:Q47" si="15">IF(O21&gt;279,"Yes","NO")</f>
        <v>NO</v>
      </c>
      <c r="R21" s="519"/>
      <c r="S21" s="895"/>
    </row>
    <row r="22" spans="1:26" ht="18.75" x14ac:dyDescent="0.25">
      <c r="A22" s="25" t="s">
        <v>69</v>
      </c>
      <c r="B22" s="184">
        <v>1249</v>
      </c>
      <c r="C22" s="37" t="s">
        <v>216</v>
      </c>
      <c r="D22" s="37" t="s">
        <v>10</v>
      </c>
      <c r="E22" s="39" t="s">
        <v>5</v>
      </c>
      <c r="F22" s="40"/>
      <c r="G22" s="1188">
        <v>4</v>
      </c>
      <c r="H22" s="1188">
        <v>11</v>
      </c>
      <c r="I22" s="1188">
        <v>14</v>
      </c>
      <c r="J22" s="1188">
        <v>1</v>
      </c>
      <c r="K22" s="1188"/>
      <c r="L22" s="1189"/>
      <c r="M22" s="1189"/>
      <c r="N22" s="1190"/>
      <c r="O22" s="185">
        <f t="shared" ref="O22:O28" si="16">(G22*10)+(H22*10)+(I22*9)+(J22*8)+(K22*7)+(L22*6)+(M22*5)</f>
        <v>284</v>
      </c>
      <c r="P22" s="740">
        <f t="shared" ref="P22:P47" si="17">SUM(G22:N22)</f>
        <v>30</v>
      </c>
      <c r="Q22" s="118" t="s">
        <v>204</v>
      </c>
      <c r="R22" s="119" t="str">
        <f t="shared" ref="R22:R24" si="18">IF(Q22="yes","M","")</f>
        <v/>
      </c>
      <c r="S22" s="169" t="str">
        <f>IF(O22=0," ",IF(P22&lt;&gt;30,"ERROR!"," "))</f>
        <v xml:space="preserve"> </v>
      </c>
    </row>
    <row r="23" spans="1:26" ht="18.75" x14ac:dyDescent="0.25">
      <c r="A23" s="25" t="s">
        <v>69</v>
      </c>
      <c r="B23" s="157">
        <v>2040</v>
      </c>
      <c r="C23" s="72" t="s">
        <v>178</v>
      </c>
      <c r="D23" s="127" t="s">
        <v>11</v>
      </c>
      <c r="E23" s="47" t="s">
        <v>5</v>
      </c>
      <c r="F23" s="48">
        <v>1</v>
      </c>
      <c r="G23" s="1191">
        <v>4</v>
      </c>
      <c r="H23" s="1191">
        <v>12</v>
      </c>
      <c r="I23" s="1191">
        <v>10</v>
      </c>
      <c r="J23" s="1191">
        <v>4</v>
      </c>
      <c r="K23" s="1191"/>
      <c r="L23" s="1192"/>
      <c r="M23" s="1192"/>
      <c r="N23" s="1193"/>
      <c r="O23" s="155">
        <f t="shared" si="16"/>
        <v>282</v>
      </c>
      <c r="P23" s="156">
        <f t="shared" si="17"/>
        <v>30</v>
      </c>
      <c r="Q23" s="118" t="s">
        <v>204</v>
      </c>
      <c r="R23" s="168" t="str">
        <f t="shared" si="18"/>
        <v/>
      </c>
      <c r="S23" s="85" t="str">
        <f>IF(O23=0," ",IF(P23&lt;&gt;30,"ERROR!"," "))</f>
        <v xml:space="preserve"> </v>
      </c>
    </row>
    <row r="24" spans="1:26" ht="18.75" x14ac:dyDescent="0.25">
      <c r="A24" s="25" t="s">
        <v>69</v>
      </c>
      <c r="B24" s="157">
        <v>1922</v>
      </c>
      <c r="C24" s="72" t="s">
        <v>217</v>
      </c>
      <c r="D24" s="127" t="s">
        <v>10</v>
      </c>
      <c r="E24" s="47" t="s">
        <v>5</v>
      </c>
      <c r="F24" s="48"/>
      <c r="G24" s="1191">
        <v>6</v>
      </c>
      <c r="H24" s="1191">
        <v>11</v>
      </c>
      <c r="I24" s="1191">
        <v>8</v>
      </c>
      <c r="J24" s="1191">
        <v>4</v>
      </c>
      <c r="K24" s="1191">
        <v>1</v>
      </c>
      <c r="L24" s="1192"/>
      <c r="M24" s="1192"/>
      <c r="N24" s="1193"/>
      <c r="O24" s="155">
        <f t="shared" si="16"/>
        <v>281</v>
      </c>
      <c r="P24" s="156">
        <f t="shared" si="17"/>
        <v>30</v>
      </c>
      <c r="Q24" s="118" t="s">
        <v>204</v>
      </c>
      <c r="R24" s="163" t="str">
        <f t="shared" si="18"/>
        <v/>
      </c>
      <c r="S24" s="128" t="str">
        <f>IF(O24=0," ",IF(P24&lt;&gt;30,"ERROR!"," "))</f>
        <v xml:space="preserve"> </v>
      </c>
    </row>
    <row r="25" spans="1:26" ht="18.75" x14ac:dyDescent="0.25">
      <c r="A25" s="25" t="s">
        <v>69</v>
      </c>
      <c r="B25" s="151">
        <v>2035</v>
      </c>
      <c r="C25" s="71" t="s">
        <v>222</v>
      </c>
      <c r="D25" s="127" t="s">
        <v>11</v>
      </c>
      <c r="E25" s="47" t="s">
        <v>5</v>
      </c>
      <c r="F25" s="48"/>
      <c r="G25" s="1188">
        <v>6</v>
      </c>
      <c r="H25" s="1188">
        <v>8</v>
      </c>
      <c r="I25" s="1188">
        <v>14</v>
      </c>
      <c r="J25" s="1188">
        <v>1</v>
      </c>
      <c r="K25" s="1188"/>
      <c r="L25" s="1189">
        <v>1</v>
      </c>
      <c r="M25" s="1189"/>
      <c r="N25" s="1193"/>
      <c r="O25" s="155">
        <f t="shared" si="16"/>
        <v>280</v>
      </c>
      <c r="P25" s="156">
        <f t="shared" si="17"/>
        <v>30</v>
      </c>
      <c r="Q25" s="118" t="s">
        <v>204</v>
      </c>
      <c r="R25" s="119"/>
      <c r="S25" s="169"/>
    </row>
    <row r="26" spans="1:26" ht="18.75" x14ac:dyDescent="0.25">
      <c r="A26" s="25" t="s">
        <v>69</v>
      </c>
      <c r="B26" s="151">
        <v>1264</v>
      </c>
      <c r="C26" s="71" t="s">
        <v>149</v>
      </c>
      <c r="D26" s="127" t="s">
        <v>7</v>
      </c>
      <c r="E26" s="47" t="s">
        <v>5</v>
      </c>
      <c r="F26" s="48">
        <v>1</v>
      </c>
      <c r="G26" s="1191">
        <v>8</v>
      </c>
      <c r="H26" s="1191">
        <v>6</v>
      </c>
      <c r="I26" s="1191">
        <v>9</v>
      </c>
      <c r="J26" s="1191">
        <v>6</v>
      </c>
      <c r="K26" s="1191">
        <v>1</v>
      </c>
      <c r="L26" s="1192"/>
      <c r="M26" s="1192"/>
      <c r="N26" s="1193"/>
      <c r="O26" s="155">
        <f t="shared" si="16"/>
        <v>276</v>
      </c>
      <c r="P26" s="156">
        <f t="shared" si="17"/>
        <v>30</v>
      </c>
      <c r="Q26" s="162" t="str">
        <f t="shared" si="15"/>
        <v>NO</v>
      </c>
      <c r="R26" s="119"/>
      <c r="S26" s="169"/>
    </row>
    <row r="27" spans="1:26" ht="18.75" x14ac:dyDescent="0.25">
      <c r="A27" s="25" t="s">
        <v>69</v>
      </c>
      <c r="B27" s="151">
        <v>1956</v>
      </c>
      <c r="C27" s="71" t="s">
        <v>49</v>
      </c>
      <c r="D27" s="127" t="s">
        <v>10</v>
      </c>
      <c r="E27" s="47" t="s">
        <v>5</v>
      </c>
      <c r="F27" s="48">
        <v>1</v>
      </c>
      <c r="G27" s="1191">
        <v>4</v>
      </c>
      <c r="H27" s="1191">
        <v>11</v>
      </c>
      <c r="I27" s="1191">
        <v>10</v>
      </c>
      <c r="J27" s="1191">
        <v>2</v>
      </c>
      <c r="K27" s="1191">
        <v>2</v>
      </c>
      <c r="L27" s="1192">
        <v>1</v>
      </c>
      <c r="M27" s="1192"/>
      <c r="N27" s="1193"/>
      <c r="O27" s="155">
        <f t="shared" si="16"/>
        <v>276</v>
      </c>
      <c r="P27" s="156">
        <f t="shared" si="17"/>
        <v>30</v>
      </c>
      <c r="Q27" s="162" t="str">
        <f t="shared" si="15"/>
        <v>NO</v>
      </c>
      <c r="R27" s="119"/>
      <c r="S27" s="169"/>
      <c r="U27" s="1072"/>
      <c r="V27" s="1072"/>
      <c r="W27" s="1072"/>
      <c r="X27" s="1072"/>
      <c r="Y27" s="1072"/>
      <c r="Z27" s="1073"/>
    </row>
    <row r="28" spans="1:26" ht="18.75" x14ac:dyDescent="0.25">
      <c r="A28" s="25" t="s">
        <v>69</v>
      </c>
      <c r="B28" s="151">
        <v>309</v>
      </c>
      <c r="C28" s="71" t="s">
        <v>235</v>
      </c>
      <c r="D28" s="127" t="s">
        <v>10</v>
      </c>
      <c r="E28" s="47" t="s">
        <v>5</v>
      </c>
      <c r="F28" s="48"/>
      <c r="G28" s="1191">
        <v>4</v>
      </c>
      <c r="H28" s="1191">
        <v>10</v>
      </c>
      <c r="I28" s="1191">
        <v>14</v>
      </c>
      <c r="J28" s="1191">
        <v>1</v>
      </c>
      <c r="K28" s="1191"/>
      <c r="L28" s="1192"/>
      <c r="M28" s="1192"/>
      <c r="N28" s="1193">
        <v>1</v>
      </c>
      <c r="O28" s="155">
        <f t="shared" si="16"/>
        <v>274</v>
      </c>
      <c r="P28" s="156">
        <f t="shared" si="17"/>
        <v>30</v>
      </c>
      <c r="Q28" s="162" t="str">
        <f t="shared" si="15"/>
        <v>NO</v>
      </c>
      <c r="R28" s="119"/>
      <c r="S28" s="169"/>
    </row>
    <row r="29" spans="1:26" ht="18.75" x14ac:dyDescent="0.25">
      <c r="A29" s="25" t="s">
        <v>69</v>
      </c>
      <c r="B29" s="151">
        <v>1615</v>
      </c>
      <c r="C29" s="71" t="s">
        <v>185</v>
      </c>
      <c r="D29" s="127" t="s">
        <v>12</v>
      </c>
      <c r="E29" s="47" t="s">
        <v>5</v>
      </c>
      <c r="F29" s="48">
        <v>1</v>
      </c>
      <c r="G29" s="1191">
        <v>3</v>
      </c>
      <c r="H29" s="1191">
        <v>10</v>
      </c>
      <c r="I29" s="1191">
        <v>11</v>
      </c>
      <c r="J29" s="1191">
        <v>3</v>
      </c>
      <c r="K29" s="1191">
        <v>2</v>
      </c>
      <c r="L29" s="1192">
        <v>1</v>
      </c>
      <c r="M29" s="1192"/>
      <c r="N29" s="1193"/>
      <c r="O29" s="155">
        <f t="shared" ref="O29:O47" si="19">(G29*10)+(H29*10)+(I29*9)+(J29*8)+(K29*7)+(L29*6)+(M29*5)</f>
        <v>273</v>
      </c>
      <c r="P29" s="156">
        <f t="shared" si="17"/>
        <v>30</v>
      </c>
      <c r="Q29" s="162" t="str">
        <f t="shared" si="15"/>
        <v>NO</v>
      </c>
      <c r="R29" s="119"/>
      <c r="S29" s="169"/>
    </row>
    <row r="30" spans="1:26" ht="18.75" x14ac:dyDescent="0.25">
      <c r="A30" s="25" t="s">
        <v>69</v>
      </c>
      <c r="B30" s="151">
        <v>1726</v>
      </c>
      <c r="C30" s="71" t="s">
        <v>72</v>
      </c>
      <c r="D30" s="71" t="s">
        <v>12</v>
      </c>
      <c r="E30" s="47" t="s">
        <v>5</v>
      </c>
      <c r="F30" s="48">
        <v>1</v>
      </c>
      <c r="G30" s="152">
        <v>4</v>
      </c>
      <c r="H30" s="152">
        <v>7</v>
      </c>
      <c r="I30" s="152">
        <v>9</v>
      </c>
      <c r="J30" s="152">
        <v>8</v>
      </c>
      <c r="K30" s="152">
        <v>2</v>
      </c>
      <c r="L30" s="153"/>
      <c r="M30" s="153"/>
      <c r="N30" s="154"/>
      <c r="O30" s="155">
        <f t="shared" si="19"/>
        <v>269</v>
      </c>
      <c r="P30" s="156">
        <f t="shared" si="17"/>
        <v>30</v>
      </c>
      <c r="Q30" s="162" t="str">
        <f t="shared" si="15"/>
        <v>NO</v>
      </c>
      <c r="R30" s="119"/>
      <c r="S30" s="169"/>
    </row>
    <row r="31" spans="1:26" ht="18.75" x14ac:dyDescent="0.25">
      <c r="A31" s="25" t="s">
        <v>69</v>
      </c>
      <c r="B31" s="151">
        <v>1982</v>
      </c>
      <c r="C31" s="71" t="s">
        <v>73</v>
      </c>
      <c r="D31" s="71" t="s">
        <v>12</v>
      </c>
      <c r="E31" s="47" t="s">
        <v>5</v>
      </c>
      <c r="F31" s="48">
        <v>1</v>
      </c>
      <c r="G31" s="1191">
        <v>2</v>
      </c>
      <c r="H31" s="1191">
        <v>10</v>
      </c>
      <c r="I31" s="1191">
        <v>8</v>
      </c>
      <c r="J31" s="1191">
        <v>8</v>
      </c>
      <c r="K31" s="1191">
        <v>1</v>
      </c>
      <c r="L31" s="1192">
        <v>1</v>
      </c>
      <c r="M31" s="1192"/>
      <c r="N31" s="1193"/>
      <c r="O31" s="155">
        <f t="shared" si="19"/>
        <v>269</v>
      </c>
      <c r="P31" s="156">
        <f t="shared" si="17"/>
        <v>30</v>
      </c>
      <c r="Q31" s="162" t="str">
        <f t="shared" si="15"/>
        <v>NO</v>
      </c>
      <c r="R31" s="119"/>
      <c r="S31" s="169"/>
    </row>
    <row r="32" spans="1:26" ht="18.75" x14ac:dyDescent="0.25">
      <c r="A32" s="25" t="s">
        <v>69</v>
      </c>
      <c r="B32" s="151">
        <v>1170</v>
      </c>
      <c r="C32" s="71" t="s">
        <v>225</v>
      </c>
      <c r="D32" s="71" t="s">
        <v>11</v>
      </c>
      <c r="E32" s="47" t="s">
        <v>5</v>
      </c>
      <c r="F32" s="48"/>
      <c r="G32" s="1191">
        <v>1</v>
      </c>
      <c r="H32" s="1191">
        <v>10</v>
      </c>
      <c r="I32" s="1191">
        <v>9</v>
      </c>
      <c r="J32" s="1191">
        <v>7</v>
      </c>
      <c r="K32" s="1191">
        <v>3</v>
      </c>
      <c r="L32" s="1192"/>
      <c r="M32" s="1192"/>
      <c r="N32" s="1193"/>
      <c r="O32" s="155">
        <f t="shared" si="19"/>
        <v>268</v>
      </c>
      <c r="P32" s="156">
        <f t="shared" si="17"/>
        <v>30</v>
      </c>
      <c r="Q32" s="162" t="str">
        <f t="shared" ref="Q32:Q33" si="20">IF(O32&gt;279,"Yes","NO")</f>
        <v>NO</v>
      </c>
      <c r="R32" s="119"/>
      <c r="S32" s="169"/>
    </row>
    <row r="33" spans="1:19" ht="18.75" x14ac:dyDescent="0.25">
      <c r="A33" s="25" t="s">
        <v>69</v>
      </c>
      <c r="B33" s="157">
        <v>2500</v>
      </c>
      <c r="C33" s="72" t="s">
        <v>242</v>
      </c>
      <c r="D33" s="127" t="s">
        <v>12</v>
      </c>
      <c r="E33" s="47" t="s">
        <v>5</v>
      </c>
      <c r="F33" s="48">
        <v>1</v>
      </c>
      <c r="G33" s="1191">
        <v>3</v>
      </c>
      <c r="H33" s="1191">
        <v>5</v>
      </c>
      <c r="I33" s="1191">
        <v>13</v>
      </c>
      <c r="J33" s="1191">
        <v>7</v>
      </c>
      <c r="K33" s="1191">
        <v>1</v>
      </c>
      <c r="L33" s="1192"/>
      <c r="M33" s="1192"/>
      <c r="N33" s="1193">
        <v>1</v>
      </c>
      <c r="O33" s="155">
        <f t="shared" si="19"/>
        <v>260</v>
      </c>
      <c r="P33" s="156">
        <f t="shared" ref="P33" si="21">SUM(G33:N33)</f>
        <v>30</v>
      </c>
      <c r="Q33" s="162" t="str">
        <f t="shared" si="20"/>
        <v>NO</v>
      </c>
      <c r="R33" s="119"/>
      <c r="S33" s="169"/>
    </row>
    <row r="34" spans="1:19" ht="18.75" x14ac:dyDescent="0.25">
      <c r="A34" s="25" t="s">
        <v>69</v>
      </c>
      <c r="B34" s="151">
        <v>1225</v>
      </c>
      <c r="C34" s="71" t="s">
        <v>186</v>
      </c>
      <c r="D34" s="127" t="s">
        <v>12</v>
      </c>
      <c r="E34" s="47" t="s">
        <v>5</v>
      </c>
      <c r="F34" s="48"/>
      <c r="G34" s="1336">
        <v>2</v>
      </c>
      <c r="H34" s="1336">
        <v>9</v>
      </c>
      <c r="I34" s="1336">
        <v>6</v>
      </c>
      <c r="J34" s="1336">
        <v>5</v>
      </c>
      <c r="K34" s="1336">
        <v>5</v>
      </c>
      <c r="L34" s="1337">
        <v>3</v>
      </c>
      <c r="M34" s="1337"/>
      <c r="N34" s="1338"/>
      <c r="O34" s="1339">
        <f t="shared" si="19"/>
        <v>257</v>
      </c>
      <c r="P34" s="156">
        <f t="shared" si="17"/>
        <v>30</v>
      </c>
      <c r="Q34" s="162" t="str">
        <f t="shared" si="15"/>
        <v>NO</v>
      </c>
      <c r="R34" s="119"/>
      <c r="S34" s="169"/>
    </row>
    <row r="35" spans="1:19" ht="18.75" x14ac:dyDescent="0.25">
      <c r="A35" s="25" t="s">
        <v>69</v>
      </c>
      <c r="B35" s="151">
        <v>2582</v>
      </c>
      <c r="C35" s="71" t="s">
        <v>71</v>
      </c>
      <c r="D35" s="127" t="s">
        <v>10</v>
      </c>
      <c r="E35" s="47" t="s">
        <v>5</v>
      </c>
      <c r="F35" s="48">
        <v>1</v>
      </c>
      <c r="G35" s="1188">
        <v>1</v>
      </c>
      <c r="H35" s="1188">
        <v>5</v>
      </c>
      <c r="I35" s="1188">
        <v>16</v>
      </c>
      <c r="J35" s="1188">
        <v>4</v>
      </c>
      <c r="K35" s="1188">
        <v>3</v>
      </c>
      <c r="L35" s="1189"/>
      <c r="M35" s="1189"/>
      <c r="N35" s="1190">
        <v>1</v>
      </c>
      <c r="O35" s="155">
        <f t="shared" si="19"/>
        <v>257</v>
      </c>
      <c r="P35" s="156">
        <f t="shared" ref="P35" si="22">SUM(G35:N35)</f>
        <v>30</v>
      </c>
      <c r="Q35" s="162" t="str">
        <f t="shared" ref="Q35" si="23">IF(O35&gt;279,"Yes","NO")</f>
        <v>NO</v>
      </c>
      <c r="R35" s="119"/>
      <c r="S35" s="169"/>
    </row>
    <row r="36" spans="1:19" ht="18.75" x14ac:dyDescent="0.25">
      <c r="A36" s="25" t="s">
        <v>69</v>
      </c>
      <c r="B36" s="151">
        <v>2009</v>
      </c>
      <c r="C36" s="71" t="s">
        <v>234</v>
      </c>
      <c r="D36" s="127" t="s">
        <v>10</v>
      </c>
      <c r="E36" s="47" t="s">
        <v>5</v>
      </c>
      <c r="F36" s="48"/>
      <c r="G36" s="1188">
        <v>1</v>
      </c>
      <c r="H36" s="1188">
        <v>4</v>
      </c>
      <c r="I36" s="1188">
        <v>11</v>
      </c>
      <c r="J36" s="1188">
        <v>9</v>
      </c>
      <c r="K36" s="1188">
        <v>5</v>
      </c>
      <c r="L36" s="1189">
        <v>0</v>
      </c>
      <c r="M36" s="1189">
        <v>0</v>
      </c>
      <c r="N36" s="1190">
        <v>0</v>
      </c>
      <c r="O36" s="155">
        <f t="shared" si="19"/>
        <v>256</v>
      </c>
      <c r="P36" s="156">
        <f t="shared" si="17"/>
        <v>30</v>
      </c>
      <c r="Q36" s="162" t="str">
        <f t="shared" si="15"/>
        <v>NO</v>
      </c>
      <c r="R36" s="119"/>
      <c r="S36" s="169"/>
    </row>
    <row r="37" spans="1:19" ht="18.75" x14ac:dyDescent="0.25">
      <c r="A37" s="25" t="s">
        <v>69</v>
      </c>
      <c r="B37" s="151">
        <v>2499</v>
      </c>
      <c r="C37" s="71" t="s">
        <v>272</v>
      </c>
      <c r="D37" s="127" t="s">
        <v>12</v>
      </c>
      <c r="E37" s="47" t="s">
        <v>5</v>
      </c>
      <c r="F37" s="48"/>
      <c r="G37" s="1188">
        <v>1</v>
      </c>
      <c r="H37" s="1188">
        <v>7</v>
      </c>
      <c r="I37" s="1188">
        <v>11</v>
      </c>
      <c r="J37" s="1188">
        <v>5</v>
      </c>
      <c r="K37" s="1188">
        <v>5</v>
      </c>
      <c r="L37" s="1189"/>
      <c r="M37" s="1189"/>
      <c r="N37" s="1190">
        <v>1</v>
      </c>
      <c r="O37" s="155">
        <f t="shared" si="19"/>
        <v>254</v>
      </c>
      <c r="P37" s="156">
        <f t="shared" ref="P37" si="24">SUM(G37:N37)</f>
        <v>30</v>
      </c>
      <c r="Q37" s="162" t="str">
        <f t="shared" si="15"/>
        <v>NO</v>
      </c>
      <c r="R37" s="119"/>
      <c r="S37" s="169"/>
    </row>
    <row r="38" spans="1:19" ht="18.75" x14ac:dyDescent="0.25">
      <c r="A38" s="25" t="s">
        <v>69</v>
      </c>
      <c r="B38" s="151">
        <v>1052</v>
      </c>
      <c r="C38" s="71" t="s">
        <v>209</v>
      </c>
      <c r="D38" s="127" t="s">
        <v>8</v>
      </c>
      <c r="E38" s="47" t="s">
        <v>5</v>
      </c>
      <c r="F38" s="48"/>
      <c r="G38" s="1188">
        <v>2</v>
      </c>
      <c r="H38" s="1188">
        <v>4</v>
      </c>
      <c r="I38" s="1188">
        <v>7</v>
      </c>
      <c r="J38" s="1188">
        <v>12</v>
      </c>
      <c r="K38" s="1188">
        <v>3</v>
      </c>
      <c r="L38" s="1189">
        <v>2</v>
      </c>
      <c r="M38" s="1189"/>
      <c r="N38" s="1190"/>
      <c r="O38" s="155">
        <f t="shared" si="19"/>
        <v>252</v>
      </c>
      <c r="P38" s="156">
        <f t="shared" si="17"/>
        <v>30</v>
      </c>
      <c r="Q38" s="162" t="str">
        <f t="shared" ref="Q38:Q39" si="25">IF(O38&gt;279,"Yes","NO")</f>
        <v>NO</v>
      </c>
      <c r="R38" s="170"/>
      <c r="S38" s="169"/>
    </row>
    <row r="39" spans="1:19" ht="18.75" x14ac:dyDescent="0.25">
      <c r="A39" s="25" t="s">
        <v>69</v>
      </c>
      <c r="B39" s="157">
        <v>1624</v>
      </c>
      <c r="C39" s="72" t="s">
        <v>58</v>
      </c>
      <c r="D39" s="127" t="s">
        <v>12</v>
      </c>
      <c r="E39" s="47" t="s">
        <v>5</v>
      </c>
      <c r="F39" s="48">
        <v>1</v>
      </c>
      <c r="G39" s="1188">
        <v>0</v>
      </c>
      <c r="H39" s="1188">
        <v>7</v>
      </c>
      <c r="I39" s="1188">
        <v>11</v>
      </c>
      <c r="J39" s="1188">
        <v>8</v>
      </c>
      <c r="K39" s="1188">
        <v>1</v>
      </c>
      <c r="L39" s="1189">
        <v>2</v>
      </c>
      <c r="M39" s="1189"/>
      <c r="N39" s="1190">
        <v>1</v>
      </c>
      <c r="O39" s="155">
        <f t="shared" si="19"/>
        <v>252</v>
      </c>
      <c r="P39" s="156">
        <f t="shared" si="17"/>
        <v>30</v>
      </c>
      <c r="Q39" s="162" t="str">
        <f t="shared" si="25"/>
        <v>NO</v>
      </c>
      <c r="R39" s="170"/>
      <c r="S39" s="169"/>
    </row>
    <row r="40" spans="1:19" ht="18.75" x14ac:dyDescent="0.25">
      <c r="A40" s="25" t="s">
        <v>69</v>
      </c>
      <c r="B40" s="151">
        <v>2578</v>
      </c>
      <c r="C40" s="71" t="s">
        <v>46</v>
      </c>
      <c r="D40" s="127" t="s">
        <v>10</v>
      </c>
      <c r="E40" s="47" t="s">
        <v>5</v>
      </c>
      <c r="F40" s="48">
        <v>1</v>
      </c>
      <c r="G40" s="1188">
        <v>1</v>
      </c>
      <c r="H40" s="1188">
        <v>1</v>
      </c>
      <c r="I40" s="1188">
        <v>14</v>
      </c>
      <c r="J40" s="1188">
        <v>6</v>
      </c>
      <c r="K40" s="1188">
        <v>4</v>
      </c>
      <c r="L40" s="1189">
        <v>4</v>
      </c>
      <c r="M40" s="1189"/>
      <c r="N40" s="1190"/>
      <c r="O40" s="155">
        <f t="shared" si="19"/>
        <v>246</v>
      </c>
      <c r="P40" s="156">
        <f t="shared" ref="P40:P41" si="26">SUM(G40:N40)</f>
        <v>30</v>
      </c>
      <c r="Q40" s="162" t="str">
        <f t="shared" ref="Q40:Q41" si="27">IF(O40&gt;279,"Yes","NO")</f>
        <v>NO</v>
      </c>
      <c r="R40" s="170"/>
      <c r="S40" s="169"/>
    </row>
    <row r="41" spans="1:19" ht="18.75" x14ac:dyDescent="0.25">
      <c r="A41" s="25" t="s">
        <v>69</v>
      </c>
      <c r="B41" s="151">
        <v>1850</v>
      </c>
      <c r="C41" s="71" t="s">
        <v>243</v>
      </c>
      <c r="D41" s="127" t="s">
        <v>8</v>
      </c>
      <c r="E41" s="47" t="s">
        <v>5</v>
      </c>
      <c r="F41" s="48">
        <v>1</v>
      </c>
      <c r="G41" s="179"/>
      <c r="H41" s="179">
        <v>3</v>
      </c>
      <c r="I41" s="179">
        <v>16</v>
      </c>
      <c r="J41" s="179">
        <v>6</v>
      </c>
      <c r="K41" s="179">
        <v>2</v>
      </c>
      <c r="L41" s="180">
        <v>1</v>
      </c>
      <c r="M41" s="180"/>
      <c r="N41" s="181">
        <v>2</v>
      </c>
      <c r="O41" s="155">
        <f t="shared" si="19"/>
        <v>242</v>
      </c>
      <c r="P41" s="156">
        <f t="shared" si="26"/>
        <v>30</v>
      </c>
      <c r="Q41" s="162" t="str">
        <f t="shared" si="27"/>
        <v>NO</v>
      </c>
      <c r="R41" s="170"/>
      <c r="S41" s="169"/>
    </row>
    <row r="42" spans="1:19" ht="18.75" x14ac:dyDescent="0.25">
      <c r="A42" s="25" t="s">
        <v>69</v>
      </c>
      <c r="B42" s="151">
        <v>1207</v>
      </c>
      <c r="C42" s="71" t="s">
        <v>263</v>
      </c>
      <c r="D42" s="127" t="s">
        <v>12</v>
      </c>
      <c r="E42" s="47" t="s">
        <v>5</v>
      </c>
      <c r="F42" s="48"/>
      <c r="G42" s="179">
        <v>1</v>
      </c>
      <c r="H42" s="179">
        <v>2</v>
      </c>
      <c r="I42" s="179">
        <v>6</v>
      </c>
      <c r="J42" s="179">
        <v>13</v>
      </c>
      <c r="K42" s="179">
        <v>4</v>
      </c>
      <c r="L42" s="180">
        <v>1</v>
      </c>
      <c r="M42" s="180">
        <v>1</v>
      </c>
      <c r="N42" s="181">
        <v>2</v>
      </c>
      <c r="O42" s="155">
        <f t="shared" si="19"/>
        <v>227</v>
      </c>
      <c r="P42" s="156">
        <f t="shared" si="17"/>
        <v>30</v>
      </c>
      <c r="Q42" s="162" t="str">
        <f t="shared" si="15"/>
        <v>NO</v>
      </c>
      <c r="R42" s="171" t="str">
        <f t="shared" ref="R42:R45" si="28">IF(Q42="yes","G","")</f>
        <v/>
      </c>
      <c r="S42" s="128" t="str">
        <f t="shared" ref="S42:S45" si="29">IF(O42=0," ",IF(P42&lt;&gt;30,"ERROR!"," "))</f>
        <v xml:space="preserve"> </v>
      </c>
    </row>
    <row r="43" spans="1:19" ht="18.75" x14ac:dyDescent="0.25">
      <c r="A43" s="25" t="s">
        <v>69</v>
      </c>
      <c r="B43" s="151">
        <v>2239</v>
      </c>
      <c r="C43" s="71" t="s">
        <v>190</v>
      </c>
      <c r="D43" s="71" t="s">
        <v>12</v>
      </c>
      <c r="E43" s="47" t="s">
        <v>5</v>
      </c>
      <c r="F43" s="48"/>
      <c r="G43" s="1188">
        <v>1</v>
      </c>
      <c r="H43" s="1188">
        <v>0</v>
      </c>
      <c r="I43" s="1188">
        <v>7</v>
      </c>
      <c r="J43" s="1188">
        <v>10</v>
      </c>
      <c r="K43" s="1188">
        <v>7</v>
      </c>
      <c r="L43" s="1192">
        <v>1</v>
      </c>
      <c r="M43" s="1192"/>
      <c r="N43" s="1193">
        <v>4</v>
      </c>
      <c r="O43" s="155">
        <f t="shared" si="19"/>
        <v>208</v>
      </c>
      <c r="P43" s="156">
        <f t="shared" si="17"/>
        <v>30</v>
      </c>
      <c r="Q43" s="162" t="str">
        <f t="shared" si="15"/>
        <v>NO</v>
      </c>
      <c r="R43" s="171" t="str">
        <f>IF(Q43="yes","G","")</f>
        <v/>
      </c>
      <c r="S43" s="128" t="str">
        <f t="shared" si="29"/>
        <v xml:space="preserve"> </v>
      </c>
    </row>
    <row r="44" spans="1:19" ht="18.75" x14ac:dyDescent="0.25">
      <c r="A44" s="25" t="s">
        <v>69</v>
      </c>
      <c r="B44" s="151">
        <v>569</v>
      </c>
      <c r="C44" s="71" t="s">
        <v>179</v>
      </c>
      <c r="D44" s="71" t="s">
        <v>12</v>
      </c>
      <c r="E44" s="47" t="s">
        <v>5</v>
      </c>
      <c r="F44" s="48">
        <v>1</v>
      </c>
      <c r="G44" s="1191">
        <v>0</v>
      </c>
      <c r="H44" s="1191">
        <v>1</v>
      </c>
      <c r="I44" s="1191">
        <v>7</v>
      </c>
      <c r="J44" s="1191">
        <v>9</v>
      </c>
      <c r="K44" s="1191">
        <v>4</v>
      </c>
      <c r="L44" s="1192">
        <v>3</v>
      </c>
      <c r="M44" s="1192"/>
      <c r="N44" s="1193">
        <v>6</v>
      </c>
      <c r="O44" s="155">
        <f t="shared" si="19"/>
        <v>191</v>
      </c>
      <c r="P44" s="156">
        <f t="shared" si="17"/>
        <v>30</v>
      </c>
      <c r="Q44" s="162" t="str">
        <f t="shared" si="15"/>
        <v>NO</v>
      </c>
      <c r="R44" s="171" t="str">
        <f>IF(Q44="yes","G","")</f>
        <v/>
      </c>
      <c r="S44" s="128" t="str">
        <f t="shared" si="29"/>
        <v xml:space="preserve"> </v>
      </c>
    </row>
    <row r="45" spans="1:19" ht="18.75" x14ac:dyDescent="0.25">
      <c r="A45" s="25" t="s">
        <v>69</v>
      </c>
      <c r="B45" s="151">
        <v>2233</v>
      </c>
      <c r="C45" s="71" t="s">
        <v>195</v>
      </c>
      <c r="D45" s="127" t="s">
        <v>12</v>
      </c>
      <c r="E45" s="47" t="s">
        <v>5</v>
      </c>
      <c r="F45" s="48"/>
      <c r="G45" s="1188">
        <v>0</v>
      </c>
      <c r="H45" s="1188">
        <v>0</v>
      </c>
      <c r="I45" s="1188">
        <v>6</v>
      </c>
      <c r="J45" s="1188">
        <v>8</v>
      </c>
      <c r="K45" s="1188">
        <v>4</v>
      </c>
      <c r="L45" s="1189">
        <v>5</v>
      </c>
      <c r="M45" s="1189">
        <v>2</v>
      </c>
      <c r="N45" s="1190">
        <v>5</v>
      </c>
      <c r="O45" s="155">
        <f t="shared" si="19"/>
        <v>186</v>
      </c>
      <c r="P45" s="156">
        <f t="shared" si="17"/>
        <v>30</v>
      </c>
      <c r="Q45" s="162" t="str">
        <f t="shared" si="15"/>
        <v>NO</v>
      </c>
      <c r="R45" s="171" t="str">
        <f t="shared" si="28"/>
        <v/>
      </c>
      <c r="S45" s="128" t="str">
        <f t="shared" si="29"/>
        <v xml:space="preserve"> </v>
      </c>
    </row>
    <row r="46" spans="1:19" ht="18.75" x14ac:dyDescent="0.25">
      <c r="A46" s="25" t="s">
        <v>69</v>
      </c>
      <c r="B46" s="151">
        <v>2502</v>
      </c>
      <c r="C46" s="71" t="s">
        <v>213</v>
      </c>
      <c r="D46" s="71" t="s">
        <v>12</v>
      </c>
      <c r="E46" s="47" t="s">
        <v>5</v>
      </c>
      <c r="F46" s="48"/>
      <c r="G46" s="1188">
        <v>1</v>
      </c>
      <c r="H46" s="1188">
        <v>2</v>
      </c>
      <c r="I46" s="1188">
        <v>4</v>
      </c>
      <c r="J46" s="1188">
        <v>5</v>
      </c>
      <c r="K46" s="1188">
        <v>4</v>
      </c>
      <c r="L46" s="1189">
        <v>5</v>
      </c>
      <c r="M46" s="1189"/>
      <c r="N46" s="1190">
        <v>9</v>
      </c>
      <c r="O46" s="155">
        <f t="shared" si="19"/>
        <v>164</v>
      </c>
      <c r="P46" s="156">
        <f t="shared" ref="P46" si="30">SUM(G46:N46)</f>
        <v>30</v>
      </c>
      <c r="Q46" s="162" t="str">
        <f t="shared" ref="Q46" si="31">IF(O46&gt;279,"Yes","NO")</f>
        <v>NO</v>
      </c>
      <c r="R46" s="171"/>
      <c r="S46" s="128"/>
    </row>
    <row r="47" spans="1:19" ht="18.75" x14ac:dyDescent="0.25">
      <c r="A47" s="25" t="s">
        <v>69</v>
      </c>
      <c r="B47" s="151">
        <v>2518</v>
      </c>
      <c r="C47" s="71" t="s">
        <v>251</v>
      </c>
      <c r="D47" s="71" t="s">
        <v>12</v>
      </c>
      <c r="E47" s="47" t="s">
        <v>5</v>
      </c>
      <c r="F47" s="48">
        <v>1</v>
      </c>
      <c r="G47" s="1191">
        <v>1</v>
      </c>
      <c r="H47" s="1191">
        <v>2</v>
      </c>
      <c r="I47" s="1191">
        <v>3</v>
      </c>
      <c r="J47" s="1191">
        <v>7</v>
      </c>
      <c r="K47" s="1191">
        <v>3</v>
      </c>
      <c r="L47" s="1192">
        <v>4</v>
      </c>
      <c r="M47" s="1192"/>
      <c r="N47" s="1193">
        <v>10</v>
      </c>
      <c r="O47" s="155">
        <f t="shared" si="19"/>
        <v>158</v>
      </c>
      <c r="P47" s="156">
        <f t="shared" si="17"/>
        <v>30</v>
      </c>
      <c r="Q47" s="162" t="str">
        <f t="shared" si="15"/>
        <v>NO</v>
      </c>
      <c r="R47" s="171"/>
      <c r="S47" s="128"/>
    </row>
    <row r="48" spans="1:19" ht="19.5" thickBot="1" x14ac:dyDescent="0.3">
      <c r="A48" s="3"/>
      <c r="B48" s="188">
        <f>COUNT(B8:B47)</f>
        <v>40</v>
      </c>
      <c r="C48" s="1622" t="s">
        <v>78</v>
      </c>
      <c r="D48" s="1623"/>
      <c r="E48" s="1624" t="s">
        <v>79</v>
      </c>
      <c r="F48" s="1625"/>
      <c r="G48" s="1625"/>
      <c r="H48" s="1625"/>
      <c r="I48" s="1625"/>
      <c r="J48" s="1625"/>
      <c r="K48" s="1625"/>
      <c r="L48" s="1625"/>
      <c r="M48" s="1625"/>
      <c r="N48" s="1625"/>
      <c r="O48" s="1625"/>
      <c r="P48" s="1626"/>
      <c r="Q48" s="3"/>
      <c r="R48" s="3"/>
      <c r="S48" s="5"/>
    </row>
  </sheetData>
  <sortState ref="B12:O21">
    <sortCondition descending="1" ref="O12"/>
  </sortState>
  <mergeCells count="5">
    <mergeCell ref="C48:D48"/>
    <mergeCell ref="E48:P48"/>
    <mergeCell ref="B3:R3"/>
    <mergeCell ref="B4:S4"/>
    <mergeCell ref="A1:S1"/>
  </mergeCells>
  <pageMargins left="0.70866141732283472" right="0.70866141732283472" top="0.74803149606299213" bottom="0.74803149606299213" header="0.31496062992125984" footer="0.31496062992125984"/>
  <pageSetup paperSize="9" scale="70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6"/>
  <sheetViews>
    <sheetView topLeftCell="A9" zoomScale="82" zoomScaleNormal="82" workbookViewId="0">
      <selection activeCell="G23" sqref="G23"/>
    </sheetView>
  </sheetViews>
  <sheetFormatPr defaultRowHeight="15" x14ac:dyDescent="0.25"/>
  <cols>
    <col min="1" max="1" width="6.140625" customWidth="1"/>
    <col min="3" max="3" width="25.140625" customWidth="1"/>
    <col min="6" max="6" width="0" hidden="1" customWidth="1"/>
    <col min="17" max="17" width="8.85546875" style="640"/>
    <col min="18" max="18" width="8.85546875" style="631"/>
  </cols>
  <sheetData>
    <row r="1" spans="1:19" ht="24" thickBot="1" x14ac:dyDescent="0.3">
      <c r="A1" s="1587" t="s">
        <v>206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9"/>
    </row>
    <row r="2" spans="1:19" ht="16.5" thickBot="1" x14ac:dyDescent="0.3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4"/>
      <c r="P2" s="10"/>
      <c r="Q2" s="635"/>
      <c r="R2" s="628"/>
      <c r="S2" s="3"/>
    </row>
    <row r="3" spans="1:19" ht="24" thickBot="1" x14ac:dyDescent="0.3">
      <c r="A3" s="11"/>
      <c r="B3" s="1590" t="s">
        <v>15</v>
      </c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1591"/>
      <c r="P3" s="1591"/>
      <c r="Q3" s="1591"/>
      <c r="R3" s="1592"/>
      <c r="S3" s="11"/>
    </row>
    <row r="4" spans="1:19" ht="16.5" thickBot="1" x14ac:dyDescent="0.3">
      <c r="A4" s="3"/>
      <c r="B4" s="4"/>
      <c r="C4" s="5"/>
      <c r="D4" s="5"/>
      <c r="E4" s="6"/>
      <c r="F4" s="5"/>
      <c r="G4" s="7"/>
      <c r="H4" s="7"/>
      <c r="I4" s="7"/>
      <c r="J4" s="7"/>
      <c r="K4" s="7"/>
      <c r="L4" s="8"/>
      <c r="M4" s="9"/>
      <c r="N4" s="8"/>
      <c r="O4" s="4"/>
      <c r="P4" s="10"/>
      <c r="Q4" s="635"/>
      <c r="R4" s="628"/>
      <c r="S4" s="3"/>
    </row>
    <row r="5" spans="1:19" ht="27" thickBot="1" x14ac:dyDescent="0.3">
      <c r="A5" s="3"/>
      <c r="B5" s="4"/>
      <c r="C5" s="1601" t="s">
        <v>80</v>
      </c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30"/>
      <c r="O5" s="1631"/>
      <c r="P5" s="10"/>
      <c r="Q5" s="635"/>
      <c r="R5" s="628"/>
      <c r="S5" s="3"/>
    </row>
    <row r="6" spans="1:19" ht="45.75" thickBot="1" x14ac:dyDescent="0.3">
      <c r="A6" s="3"/>
      <c r="B6" s="135" t="s">
        <v>157</v>
      </c>
      <c r="C6" s="16" t="s">
        <v>18</v>
      </c>
      <c r="D6" s="136" t="s">
        <v>19</v>
      </c>
      <c r="E6" s="6" t="s">
        <v>20</v>
      </c>
      <c r="F6" s="18"/>
      <c r="G6" s="734" t="s">
        <v>21</v>
      </c>
      <c r="H6" s="137">
        <v>10</v>
      </c>
      <c r="I6" s="138">
        <v>9</v>
      </c>
      <c r="J6" s="138">
        <v>8</v>
      </c>
      <c r="K6" s="138">
        <v>7</v>
      </c>
      <c r="L6" s="139">
        <v>6</v>
      </c>
      <c r="M6" s="140">
        <v>5</v>
      </c>
      <c r="N6" s="141">
        <v>0</v>
      </c>
      <c r="O6" s="142" t="s">
        <v>22</v>
      </c>
      <c r="P6" s="143" t="s">
        <v>42</v>
      </c>
      <c r="Q6" s="634" t="s">
        <v>24</v>
      </c>
      <c r="R6" s="626" t="s">
        <v>25</v>
      </c>
      <c r="S6" s="82" t="s">
        <v>26</v>
      </c>
    </row>
    <row r="7" spans="1:19" ht="18.75" x14ac:dyDescent="0.25">
      <c r="A7" s="25" t="s">
        <v>81</v>
      </c>
      <c r="B7" s="161">
        <v>1786</v>
      </c>
      <c r="C7" s="61" t="s">
        <v>28</v>
      </c>
      <c r="D7" s="61" t="s">
        <v>12</v>
      </c>
      <c r="E7" s="28" t="s">
        <v>13</v>
      </c>
      <c r="F7" s="29" t="e">
        <f>VLOOKUP(E7,$X$7:$Y$16,2,FALSE)</f>
        <v>#N/A</v>
      </c>
      <c r="G7" s="1197">
        <v>11</v>
      </c>
      <c r="H7" s="1197">
        <v>16</v>
      </c>
      <c r="I7" s="1197">
        <v>3</v>
      </c>
      <c r="J7" s="1197"/>
      <c r="K7" s="1197"/>
      <c r="L7" s="885"/>
      <c r="M7" s="147"/>
      <c r="N7" s="148"/>
      <c r="O7" s="986">
        <f t="shared" ref="O7:O16" si="0">(G7*10)+(H7*10)+(I7*9)+(J7*8)+(K7*7)+(L7*6)+(M7*5)</f>
        <v>297</v>
      </c>
      <c r="P7" s="988">
        <f t="shared" ref="P7:P8" si="1">SUM(G7:N7)</f>
        <v>30</v>
      </c>
      <c r="Q7" s="735"/>
      <c r="R7" s="736"/>
      <c r="S7" s="53" t="str">
        <f>IF(O7=0," ",IF(P7&lt;&gt;30,"ERROR!"," "))</f>
        <v xml:space="preserve"> </v>
      </c>
    </row>
    <row r="8" spans="1:19" ht="18.75" x14ac:dyDescent="0.25">
      <c r="A8" s="25" t="s">
        <v>81</v>
      </c>
      <c r="B8" s="151">
        <v>1783</v>
      </c>
      <c r="C8" s="71" t="s">
        <v>181</v>
      </c>
      <c r="D8" s="127" t="s">
        <v>11</v>
      </c>
      <c r="E8" s="47" t="s">
        <v>13</v>
      </c>
      <c r="F8" s="48"/>
      <c r="G8" s="888">
        <v>9</v>
      </c>
      <c r="H8" s="888">
        <v>18</v>
      </c>
      <c r="I8" s="888">
        <v>3</v>
      </c>
      <c r="J8" s="888"/>
      <c r="K8" s="888"/>
      <c r="L8" s="889"/>
      <c r="M8" s="153"/>
      <c r="N8" s="154"/>
      <c r="O8" s="854">
        <f t="shared" si="0"/>
        <v>297</v>
      </c>
      <c r="P8" s="222">
        <f t="shared" si="1"/>
        <v>30</v>
      </c>
      <c r="Q8" s="636"/>
      <c r="R8" s="629"/>
      <c r="S8" s="53" t="str">
        <f t="shared" ref="S8:S9" si="2">IF(O8=0," ",IF(P8&lt;&gt;30,"ERROR!"," "))</f>
        <v xml:space="preserve"> </v>
      </c>
    </row>
    <row r="9" spans="1:19" ht="18.75" x14ac:dyDescent="0.25">
      <c r="A9" s="25" t="s">
        <v>81</v>
      </c>
      <c r="B9" s="151">
        <v>1266</v>
      </c>
      <c r="C9" s="71" t="s">
        <v>223</v>
      </c>
      <c r="D9" s="127" t="s">
        <v>11</v>
      </c>
      <c r="E9" s="73" t="s">
        <v>13</v>
      </c>
      <c r="F9" s="48"/>
      <c r="G9" s="886">
        <v>11</v>
      </c>
      <c r="H9" s="886">
        <v>12</v>
      </c>
      <c r="I9" s="886">
        <v>7</v>
      </c>
      <c r="J9" s="891"/>
      <c r="K9" s="891"/>
      <c r="L9" s="889"/>
      <c r="M9" s="153"/>
      <c r="N9" s="154"/>
      <c r="O9" s="854">
        <f t="shared" si="0"/>
        <v>293</v>
      </c>
      <c r="P9" s="222">
        <f t="shared" ref="P9:P16" si="3">SUM(G9:N9)</f>
        <v>30</v>
      </c>
      <c r="Q9" s="636"/>
      <c r="R9" s="629"/>
      <c r="S9" s="60" t="str">
        <f t="shared" si="2"/>
        <v xml:space="preserve"> </v>
      </c>
    </row>
    <row r="10" spans="1:19" ht="18.75" x14ac:dyDescent="0.25">
      <c r="A10" s="25" t="s">
        <v>81</v>
      </c>
      <c r="B10" s="151">
        <v>1475</v>
      </c>
      <c r="C10" s="71" t="s">
        <v>30</v>
      </c>
      <c r="D10" s="127" t="s">
        <v>10</v>
      </c>
      <c r="E10" s="47" t="s">
        <v>13</v>
      </c>
      <c r="F10" s="48" t="e">
        <f>VLOOKUP(E10,$X$7:$Y$16,2,FALSE)</f>
        <v>#N/A</v>
      </c>
      <c r="G10" s="886">
        <v>7</v>
      </c>
      <c r="H10" s="886">
        <v>14</v>
      </c>
      <c r="I10" s="886">
        <v>9</v>
      </c>
      <c r="J10" s="891"/>
      <c r="K10" s="891"/>
      <c r="L10" s="889"/>
      <c r="M10" s="153"/>
      <c r="N10" s="154"/>
      <c r="O10" s="854">
        <f t="shared" si="0"/>
        <v>291</v>
      </c>
      <c r="P10" s="222">
        <f t="shared" ref="P10" si="4">SUM(G10:N10)</f>
        <v>30</v>
      </c>
      <c r="Q10" s="636"/>
      <c r="R10" s="629"/>
      <c r="S10" s="60"/>
    </row>
    <row r="11" spans="1:19" ht="18.75" x14ac:dyDescent="0.25">
      <c r="A11" s="25" t="s">
        <v>81</v>
      </c>
      <c r="B11" s="151">
        <v>786</v>
      </c>
      <c r="C11" s="71" t="s">
        <v>215</v>
      </c>
      <c r="D11" s="127" t="s">
        <v>10</v>
      </c>
      <c r="E11" s="73" t="s">
        <v>13</v>
      </c>
      <c r="F11" s="48"/>
      <c r="G11" s="886">
        <v>8</v>
      </c>
      <c r="H11" s="886">
        <v>13</v>
      </c>
      <c r="I11" s="886">
        <v>8</v>
      </c>
      <c r="J11" s="891">
        <v>1</v>
      </c>
      <c r="K11" s="891"/>
      <c r="L11" s="889"/>
      <c r="M11" s="153"/>
      <c r="N11" s="154"/>
      <c r="O11" s="854">
        <f t="shared" si="0"/>
        <v>290</v>
      </c>
      <c r="P11" s="222">
        <f t="shared" ref="P11" si="5">SUM(G11:N11)</f>
        <v>30</v>
      </c>
      <c r="Q11" s="636"/>
      <c r="R11" s="629"/>
      <c r="S11" s="60"/>
    </row>
    <row r="12" spans="1:19" ht="18.75" x14ac:dyDescent="0.25">
      <c r="A12" s="25" t="s">
        <v>81</v>
      </c>
      <c r="B12" s="151">
        <v>2149</v>
      </c>
      <c r="C12" s="71" t="s">
        <v>273</v>
      </c>
      <c r="D12" s="127" t="s">
        <v>61</v>
      </c>
      <c r="E12" s="73" t="s">
        <v>13</v>
      </c>
      <c r="F12" s="48"/>
      <c r="G12" s="886">
        <v>5</v>
      </c>
      <c r="H12" s="886">
        <v>7</v>
      </c>
      <c r="I12" s="886">
        <v>4</v>
      </c>
      <c r="J12" s="891">
        <v>10</v>
      </c>
      <c r="K12" s="891">
        <v>3</v>
      </c>
      <c r="L12" s="889">
        <v>1</v>
      </c>
      <c r="M12" s="153"/>
      <c r="N12" s="154"/>
      <c r="O12" s="854">
        <f t="shared" ref="O12" si="6">(G12*10)+(H12*10)+(I12*9)+(J12*8)+(K12*7)+(L12*6)+(M12*5)</f>
        <v>263</v>
      </c>
      <c r="P12" s="222">
        <f t="shared" ref="P12" si="7">SUM(G12:N12)</f>
        <v>30</v>
      </c>
      <c r="Q12" s="636"/>
      <c r="R12" s="629"/>
      <c r="S12" s="60"/>
    </row>
    <row r="13" spans="1:19" ht="18.75" x14ac:dyDescent="0.25">
      <c r="A13" s="25" t="s">
        <v>81</v>
      </c>
      <c r="B13" s="157">
        <v>786</v>
      </c>
      <c r="C13" s="72" t="s">
        <v>29</v>
      </c>
      <c r="D13" s="127" t="s">
        <v>10</v>
      </c>
      <c r="E13" s="47" t="s">
        <v>13</v>
      </c>
      <c r="F13" s="48" t="e">
        <f>VLOOKUP(E13,$X$7:$Y$16,2,FALSE)</f>
        <v>#N/A</v>
      </c>
      <c r="G13" s="886">
        <v>8</v>
      </c>
      <c r="H13" s="886">
        <v>13</v>
      </c>
      <c r="I13" s="886">
        <v>8</v>
      </c>
      <c r="J13" s="886">
        <v>1</v>
      </c>
      <c r="K13" s="886"/>
      <c r="L13" s="889"/>
      <c r="M13" s="153"/>
      <c r="N13" s="154"/>
      <c r="O13" s="854">
        <f t="shared" si="0"/>
        <v>290</v>
      </c>
      <c r="P13" s="222">
        <f>SUM(G13:N13)</f>
        <v>30</v>
      </c>
      <c r="Q13" s="638"/>
      <c r="R13" s="627"/>
      <c r="S13" s="128" t="str">
        <f>IF(O13=0," ",IF(P13&lt;&gt;30,"ERROR!"," "))</f>
        <v xml:space="preserve"> </v>
      </c>
    </row>
    <row r="14" spans="1:19" ht="18.75" x14ac:dyDescent="0.25">
      <c r="A14" s="25" t="s">
        <v>81</v>
      </c>
      <c r="B14" s="184">
        <v>1467</v>
      </c>
      <c r="C14" s="37" t="s">
        <v>32</v>
      </c>
      <c r="D14" s="178" t="s">
        <v>10</v>
      </c>
      <c r="E14" s="861" t="s">
        <v>13</v>
      </c>
      <c r="F14" s="40">
        <v>1</v>
      </c>
      <c r="G14" s="886">
        <v>8</v>
      </c>
      <c r="H14" s="886">
        <v>12</v>
      </c>
      <c r="I14" s="886">
        <v>9</v>
      </c>
      <c r="J14" s="891">
        <v>1</v>
      </c>
      <c r="K14" s="891"/>
      <c r="L14" s="887"/>
      <c r="M14" s="180"/>
      <c r="N14" s="181"/>
      <c r="O14" s="989">
        <f t="shared" si="0"/>
        <v>289</v>
      </c>
      <c r="P14" s="729">
        <f>SUM(G14:N14)</f>
        <v>30</v>
      </c>
      <c r="Q14" s="638"/>
      <c r="R14" s="627"/>
      <c r="S14" s="62"/>
    </row>
    <row r="15" spans="1:19" ht="19.5" thickBot="1" x14ac:dyDescent="0.3">
      <c r="A15" s="25" t="s">
        <v>81</v>
      </c>
      <c r="B15" s="151">
        <v>1465</v>
      </c>
      <c r="C15" s="71" t="s">
        <v>244</v>
      </c>
      <c r="D15" s="127" t="s">
        <v>12</v>
      </c>
      <c r="E15" s="47" t="s">
        <v>13</v>
      </c>
      <c r="F15" s="48" t="e">
        <f t="shared" ref="F15:F16" si="8">VLOOKUP(E15,$X$7:$Y$16,2,FALSE)</f>
        <v>#N/A</v>
      </c>
      <c r="G15" s="888">
        <v>3</v>
      </c>
      <c r="H15" s="888">
        <v>11</v>
      </c>
      <c r="I15" s="888">
        <v>12</v>
      </c>
      <c r="J15" s="888">
        <v>4</v>
      </c>
      <c r="K15" s="888"/>
      <c r="L15" s="889"/>
      <c r="M15" s="153"/>
      <c r="N15" s="154"/>
      <c r="O15" s="854">
        <f t="shared" si="0"/>
        <v>280</v>
      </c>
      <c r="P15" s="222">
        <f>SUM(G15:N15)</f>
        <v>30</v>
      </c>
      <c r="Q15" s="638"/>
      <c r="R15" s="627"/>
      <c r="S15" s="128" t="str">
        <f>IF(O15=0," ",IF(P15&lt;&gt;30,"ERROR!"," "))</f>
        <v xml:space="preserve"> </v>
      </c>
    </row>
    <row r="16" spans="1:19" ht="19.5" thickBot="1" x14ac:dyDescent="0.3">
      <c r="A16" s="25" t="s">
        <v>81</v>
      </c>
      <c r="B16" s="313">
        <v>2296</v>
      </c>
      <c r="C16" s="576" t="s">
        <v>218</v>
      </c>
      <c r="D16" s="470" t="s">
        <v>10</v>
      </c>
      <c r="E16" s="946" t="s">
        <v>3</v>
      </c>
      <c r="F16" s="67" t="e">
        <f t="shared" si="8"/>
        <v>#N/A</v>
      </c>
      <c r="G16" s="1214">
        <v>5</v>
      </c>
      <c r="H16" s="1214">
        <v>16</v>
      </c>
      <c r="I16" s="1214">
        <v>9</v>
      </c>
      <c r="J16" s="1214"/>
      <c r="K16" s="1214"/>
      <c r="L16" s="1480"/>
      <c r="M16" s="1481"/>
      <c r="N16" s="1482"/>
      <c r="O16" s="1483">
        <f t="shared" si="0"/>
        <v>291</v>
      </c>
      <c r="P16" s="731">
        <f t="shared" si="3"/>
        <v>30</v>
      </c>
      <c r="Q16" s="1484" t="str">
        <f t="shared" ref="Q16" si="9">IF(O16&gt;296,"Yes","NO")</f>
        <v>NO</v>
      </c>
      <c r="R16" s="1485" t="str">
        <f t="shared" ref="R16" si="10">IF(Q16="yes","HM","")</f>
        <v/>
      </c>
      <c r="S16" s="732"/>
    </row>
    <row r="17" spans="1:19" ht="18.75" x14ac:dyDescent="0.25">
      <c r="A17" s="25" t="s">
        <v>81</v>
      </c>
      <c r="B17" s="184">
        <v>1798</v>
      </c>
      <c r="C17" s="37" t="s">
        <v>70</v>
      </c>
      <c r="D17" s="37" t="s">
        <v>7</v>
      </c>
      <c r="E17" s="861" t="s">
        <v>4</v>
      </c>
      <c r="F17" s="40" t="e">
        <f>VLOOKUP(E17,$X$7:$Y$16,2,FALSE)</f>
        <v>#N/A</v>
      </c>
      <c r="G17" s="978">
        <v>5</v>
      </c>
      <c r="H17" s="978">
        <v>15</v>
      </c>
      <c r="I17" s="978">
        <v>10</v>
      </c>
      <c r="J17" s="978"/>
      <c r="K17" s="978"/>
      <c r="L17" s="884"/>
      <c r="M17" s="180"/>
      <c r="N17" s="181"/>
      <c r="O17" s="989">
        <f t="shared" ref="O17:O25" si="11">(G17*10)+(H17*10)+(I17*9)+(J17*8)+(K17*7)+(L17*6)+(M17*5)</f>
        <v>290</v>
      </c>
      <c r="P17" s="729">
        <f>SUM(G17:N17)</f>
        <v>30</v>
      </c>
      <c r="Q17" s="639" t="str">
        <f>IF(O17&gt;289,"Yes","NO")</f>
        <v>Yes</v>
      </c>
      <c r="R17" s="739" t="str">
        <f>IF(Q17="yes","G","")</f>
        <v>G</v>
      </c>
      <c r="S17" s="169" t="str">
        <f>IF(O17=0," ",IF(P17&lt;&gt;30,"ERROR!"," "))</f>
        <v xml:space="preserve"> </v>
      </c>
    </row>
    <row r="18" spans="1:19" ht="19.5" thickBot="1" x14ac:dyDescent="0.3">
      <c r="A18" s="25" t="s">
        <v>81</v>
      </c>
      <c r="B18" s="234">
        <v>1769</v>
      </c>
      <c r="C18" s="129" t="s">
        <v>253</v>
      </c>
      <c r="D18" s="129" t="s">
        <v>12</v>
      </c>
      <c r="E18" s="913" t="s">
        <v>4</v>
      </c>
      <c r="F18" s="65" t="e">
        <f>VLOOKUP(E18,$X$7:$Y$16,2,FALSE)</f>
        <v>#N/A</v>
      </c>
      <c r="G18" s="976">
        <v>4</v>
      </c>
      <c r="H18" s="976">
        <v>5</v>
      </c>
      <c r="I18" s="976">
        <v>11</v>
      </c>
      <c r="J18" s="976">
        <v>6</v>
      </c>
      <c r="K18" s="976">
        <v>3</v>
      </c>
      <c r="L18" s="977"/>
      <c r="M18" s="560"/>
      <c r="N18" s="561">
        <v>1</v>
      </c>
      <c r="O18" s="993">
        <f t="shared" si="11"/>
        <v>258</v>
      </c>
      <c r="P18" s="994">
        <f>SUM(G18:N18)</f>
        <v>30</v>
      </c>
      <c r="Q18" s="995"/>
      <c r="R18" s="996"/>
      <c r="S18" s="618"/>
    </row>
    <row r="19" spans="1:19" ht="18.75" x14ac:dyDescent="0.25">
      <c r="A19" s="25" t="s">
        <v>81</v>
      </c>
      <c r="B19" s="161">
        <v>1118</v>
      </c>
      <c r="C19" s="61" t="s">
        <v>31</v>
      </c>
      <c r="D19" s="145" t="s">
        <v>10</v>
      </c>
      <c r="E19" s="908" t="s">
        <v>6</v>
      </c>
      <c r="F19" s="29" t="e">
        <f>VLOOKUP(E19,$X$7:$Y$16,2,FALSE)</f>
        <v>#N/A</v>
      </c>
      <c r="G19" s="1168">
        <v>7</v>
      </c>
      <c r="H19" s="1168">
        <v>7</v>
      </c>
      <c r="I19" s="1168">
        <v>13</v>
      </c>
      <c r="J19" s="1168">
        <v>3</v>
      </c>
      <c r="K19" s="877"/>
      <c r="L19" s="878"/>
      <c r="M19" s="878"/>
      <c r="N19" s="973"/>
      <c r="O19" s="986">
        <f t="shared" si="11"/>
        <v>281</v>
      </c>
      <c r="P19" s="988">
        <f t="shared" ref="P19:P34" si="12">SUM(G19:N19)</f>
        <v>30</v>
      </c>
      <c r="Q19" s="637" t="str">
        <f>IF(O19&gt;289,"Yes","NO")</f>
        <v>NO</v>
      </c>
      <c r="R19" s="737" t="str">
        <f>IF(Q19="yes","G","")</f>
        <v/>
      </c>
      <c r="S19" s="633" t="str">
        <f>IF(O19=0," ",IF(P19&lt;&gt;30,"ERROR!"," "))</f>
        <v xml:space="preserve"> </v>
      </c>
    </row>
    <row r="20" spans="1:19" ht="18.75" x14ac:dyDescent="0.25">
      <c r="A20" s="25" t="s">
        <v>81</v>
      </c>
      <c r="B20" s="151">
        <v>1412</v>
      </c>
      <c r="C20" s="71" t="s">
        <v>167</v>
      </c>
      <c r="D20" s="127" t="s">
        <v>10</v>
      </c>
      <c r="E20" s="73" t="s">
        <v>6</v>
      </c>
      <c r="F20" s="48" t="e">
        <f>VLOOKUP(E20,$X$7:$Y$16,2,FALSE)</f>
        <v>#N/A</v>
      </c>
      <c r="G20" s="1198">
        <v>4</v>
      </c>
      <c r="H20" s="1198">
        <v>10</v>
      </c>
      <c r="I20" s="1198">
        <v>14</v>
      </c>
      <c r="J20" s="1198">
        <v>1</v>
      </c>
      <c r="K20" s="880">
        <v>1</v>
      </c>
      <c r="L20" s="881"/>
      <c r="M20" s="881"/>
      <c r="N20" s="975"/>
      <c r="O20" s="854">
        <f t="shared" si="11"/>
        <v>281</v>
      </c>
      <c r="P20" s="222">
        <f>SUM(G20:N20)</f>
        <v>30</v>
      </c>
      <c r="Q20" s="638" t="str">
        <f>IF(O20&gt;289,"Yes","NO")</f>
        <v>NO</v>
      </c>
      <c r="R20" s="738" t="str">
        <f>IF(Q20="yes","G","")</f>
        <v/>
      </c>
      <c r="S20" s="128" t="str">
        <f>IF(O20=0," ",IF(P20&lt;&gt;30,"ERROR!"," "))</f>
        <v xml:space="preserve"> </v>
      </c>
    </row>
    <row r="21" spans="1:19" ht="18.75" x14ac:dyDescent="0.25">
      <c r="A21" s="25" t="s">
        <v>81</v>
      </c>
      <c r="B21" s="184">
        <v>1799</v>
      </c>
      <c r="C21" s="37" t="s">
        <v>180</v>
      </c>
      <c r="D21" s="37" t="s">
        <v>11</v>
      </c>
      <c r="E21" s="39" t="s">
        <v>6</v>
      </c>
      <c r="F21" s="40" t="e">
        <f>VLOOKUP(E21,$X$7:$Y$16,2,FALSE)</f>
        <v>#N/A</v>
      </c>
      <c r="G21" s="882">
        <v>2</v>
      </c>
      <c r="H21" s="882">
        <v>13</v>
      </c>
      <c r="I21" s="882">
        <v>11</v>
      </c>
      <c r="J21" s="882">
        <v>4</v>
      </c>
      <c r="K21" s="882"/>
      <c r="L21" s="884"/>
      <c r="M21" s="884"/>
      <c r="N21" s="979"/>
      <c r="O21" s="854">
        <f t="shared" si="11"/>
        <v>281</v>
      </c>
      <c r="P21" s="222">
        <f t="shared" si="12"/>
        <v>30</v>
      </c>
      <c r="Q21" s="638" t="str">
        <f t="shared" ref="Q21:Q24" si="13">IF(O21&gt;289,"Yes","NO")</f>
        <v>NO</v>
      </c>
      <c r="R21" s="738" t="str">
        <f t="shared" ref="R21:R24" si="14">IF(Q21="yes","G","")</f>
        <v/>
      </c>
      <c r="S21" s="128" t="str">
        <f t="shared" ref="S21:S24" si="15">IF(O21=0," ",IF(P21&lt;&gt;30,"ERROR!"," "))</f>
        <v xml:space="preserve"> </v>
      </c>
    </row>
    <row r="22" spans="1:19" ht="18.75" x14ac:dyDescent="0.25">
      <c r="A22" s="25" t="s">
        <v>81</v>
      </c>
      <c r="B22" s="157">
        <v>638</v>
      </c>
      <c r="C22" s="72" t="s">
        <v>199</v>
      </c>
      <c r="D22" s="127" t="s">
        <v>12</v>
      </c>
      <c r="E22" s="73" t="s">
        <v>6</v>
      </c>
      <c r="F22" s="48"/>
      <c r="G22" s="880">
        <v>4</v>
      </c>
      <c r="H22" s="880">
        <v>8</v>
      </c>
      <c r="I22" s="880">
        <v>12</v>
      </c>
      <c r="J22" s="880">
        <v>3</v>
      </c>
      <c r="K22" s="880">
        <v>2</v>
      </c>
      <c r="L22" s="881">
        <v>1</v>
      </c>
      <c r="M22" s="881"/>
      <c r="N22" s="975"/>
      <c r="O22" s="854">
        <f t="shared" si="11"/>
        <v>272</v>
      </c>
      <c r="P22" s="222">
        <f t="shared" si="12"/>
        <v>30</v>
      </c>
      <c r="Q22" s="638" t="str">
        <f t="shared" si="13"/>
        <v>NO</v>
      </c>
      <c r="R22" s="738" t="str">
        <f t="shared" si="14"/>
        <v/>
      </c>
      <c r="S22" s="128" t="str">
        <f t="shared" si="15"/>
        <v xml:space="preserve"> </v>
      </c>
    </row>
    <row r="23" spans="1:19" ht="18.75" x14ac:dyDescent="0.25">
      <c r="A23" s="25" t="s">
        <v>81</v>
      </c>
      <c r="B23" s="151">
        <v>1477</v>
      </c>
      <c r="C23" s="71" t="s">
        <v>50</v>
      </c>
      <c r="D23" s="71" t="s">
        <v>12</v>
      </c>
      <c r="E23" s="47" t="s">
        <v>6</v>
      </c>
      <c r="F23" s="48" t="e">
        <f>VLOOKUP(E23,$X$7:$Y$16,2,FALSE)</f>
        <v>#N/A</v>
      </c>
      <c r="G23" s="978">
        <v>5</v>
      </c>
      <c r="H23" s="978">
        <v>13</v>
      </c>
      <c r="I23" s="978">
        <v>10</v>
      </c>
      <c r="J23" s="978"/>
      <c r="K23" s="978"/>
      <c r="L23" s="881"/>
      <c r="M23" s="881"/>
      <c r="N23" s="975">
        <v>2</v>
      </c>
      <c r="O23" s="854">
        <f t="shared" si="11"/>
        <v>270</v>
      </c>
      <c r="P23" s="222">
        <f t="shared" si="12"/>
        <v>30</v>
      </c>
      <c r="Q23" s="638" t="str">
        <f t="shared" si="13"/>
        <v>NO</v>
      </c>
      <c r="R23" s="738" t="str">
        <f t="shared" si="14"/>
        <v/>
      </c>
      <c r="S23" s="128" t="str">
        <f t="shared" si="15"/>
        <v xml:space="preserve"> </v>
      </c>
    </row>
    <row r="24" spans="1:19" ht="18.75" x14ac:dyDescent="0.25">
      <c r="A24" s="25" t="s">
        <v>81</v>
      </c>
      <c r="B24" s="151">
        <v>1268</v>
      </c>
      <c r="C24" s="71" t="s">
        <v>168</v>
      </c>
      <c r="D24" s="127" t="s">
        <v>8</v>
      </c>
      <c r="E24" s="73" t="s">
        <v>6</v>
      </c>
      <c r="F24" s="48"/>
      <c r="G24" s="1198">
        <v>3</v>
      </c>
      <c r="H24" s="1198">
        <v>9</v>
      </c>
      <c r="I24" s="1198">
        <v>8</v>
      </c>
      <c r="J24" s="1198">
        <v>8</v>
      </c>
      <c r="K24" s="1198">
        <v>2</v>
      </c>
      <c r="L24" s="881"/>
      <c r="M24" s="881"/>
      <c r="N24" s="975"/>
      <c r="O24" s="854">
        <f t="shared" si="11"/>
        <v>270</v>
      </c>
      <c r="P24" s="222">
        <f t="shared" si="12"/>
        <v>30</v>
      </c>
      <c r="Q24" s="638" t="str">
        <f t="shared" si="13"/>
        <v>NO</v>
      </c>
      <c r="R24" s="738" t="str">
        <f t="shared" si="14"/>
        <v/>
      </c>
      <c r="S24" s="128" t="str">
        <f t="shared" si="15"/>
        <v xml:space="preserve"> </v>
      </c>
    </row>
    <row r="25" spans="1:19" ht="19.5" thickBot="1" x14ac:dyDescent="0.3">
      <c r="A25" s="25" t="s">
        <v>81</v>
      </c>
      <c r="B25" s="186">
        <v>309</v>
      </c>
      <c r="C25" s="116" t="s">
        <v>236</v>
      </c>
      <c r="D25" s="187" t="s">
        <v>10</v>
      </c>
      <c r="E25" s="1083" t="s">
        <v>6</v>
      </c>
      <c r="F25" s="101" t="e">
        <f>VLOOKUP(E25,$X$7:$Y$16,2,FALSE)</f>
        <v>#N/A</v>
      </c>
      <c r="G25" s="990">
        <v>3</v>
      </c>
      <c r="H25" s="990">
        <v>6</v>
      </c>
      <c r="I25" s="990">
        <v>15</v>
      </c>
      <c r="J25" s="990">
        <v>3</v>
      </c>
      <c r="K25" s="990">
        <v>1</v>
      </c>
      <c r="L25" s="991"/>
      <c r="M25" s="991"/>
      <c r="N25" s="992">
        <v>2</v>
      </c>
      <c r="O25" s="987">
        <f t="shared" si="11"/>
        <v>256</v>
      </c>
      <c r="P25" s="584">
        <f t="shared" ref="P25" si="16">SUM(G25:N25)</f>
        <v>30</v>
      </c>
      <c r="Q25" s="641" t="str">
        <f t="shared" ref="Q25" si="17">IF(O25&gt;279,"Yes","NO")</f>
        <v>NO</v>
      </c>
      <c r="R25" s="630"/>
      <c r="S25" s="85"/>
    </row>
    <row r="26" spans="1:19" ht="18.75" x14ac:dyDescent="0.25">
      <c r="A26" s="25" t="s">
        <v>81</v>
      </c>
      <c r="B26" s="161">
        <v>1784</v>
      </c>
      <c r="C26" s="61" t="s">
        <v>182</v>
      </c>
      <c r="D26" s="145" t="s">
        <v>11</v>
      </c>
      <c r="E26" s="28" t="s">
        <v>5</v>
      </c>
      <c r="F26" s="29"/>
      <c r="G26" s="1199">
        <v>9</v>
      </c>
      <c r="H26" s="1199">
        <v>10</v>
      </c>
      <c r="I26" s="1199">
        <v>11</v>
      </c>
      <c r="J26" s="1199"/>
      <c r="K26" s="1199"/>
      <c r="L26" s="1200"/>
      <c r="M26" s="1200"/>
      <c r="N26" s="1201"/>
      <c r="O26" s="149">
        <f t="shared" ref="O26:O35" si="18">(G26*10)+(H26*10)+(I26*9)+(J26*8)+(K26*7)+(L26*6)+(M26*5)</f>
        <v>289</v>
      </c>
      <c r="P26" s="174">
        <f t="shared" si="12"/>
        <v>30</v>
      </c>
      <c r="Q26" s="637" t="str">
        <f t="shared" ref="Q26:Q43" si="19">IF(O26&gt;279,"Yes","NO")</f>
        <v>Yes</v>
      </c>
      <c r="R26" s="632" t="str">
        <f t="shared" ref="R26:R43" si="20">IF(Q26="yes","S","")</f>
        <v>S</v>
      </c>
      <c r="S26" s="633" t="str">
        <f t="shared" ref="S26:S43" si="21">IF(O26=0," ",IF(P26&lt;&gt;30,"ERROR!"," "))</f>
        <v xml:space="preserve"> </v>
      </c>
    </row>
    <row r="27" spans="1:19" ht="18.75" x14ac:dyDescent="0.25">
      <c r="A27" s="25" t="s">
        <v>81</v>
      </c>
      <c r="B27" s="151">
        <v>2040</v>
      </c>
      <c r="C27" s="71" t="s">
        <v>178</v>
      </c>
      <c r="D27" s="127" t="s">
        <v>11</v>
      </c>
      <c r="E27" s="47" t="s">
        <v>5</v>
      </c>
      <c r="F27" s="48"/>
      <c r="G27" s="1202">
        <v>4</v>
      </c>
      <c r="H27" s="1202">
        <v>11</v>
      </c>
      <c r="I27" s="1202">
        <v>11</v>
      </c>
      <c r="J27" s="1202">
        <v>3</v>
      </c>
      <c r="K27" s="1202">
        <v>1</v>
      </c>
      <c r="L27" s="1203"/>
      <c r="M27" s="1203"/>
      <c r="N27" s="1204"/>
      <c r="O27" s="155">
        <f t="shared" si="18"/>
        <v>280</v>
      </c>
      <c r="P27" s="175">
        <f t="shared" si="12"/>
        <v>30</v>
      </c>
      <c r="Q27" s="638" t="str">
        <f t="shared" si="19"/>
        <v>Yes</v>
      </c>
      <c r="R27" s="627" t="str">
        <f t="shared" si="20"/>
        <v>S</v>
      </c>
      <c r="S27" s="128" t="str">
        <f t="shared" si="21"/>
        <v xml:space="preserve"> </v>
      </c>
    </row>
    <row r="28" spans="1:19" ht="18.75" x14ac:dyDescent="0.25">
      <c r="A28" s="25" t="s">
        <v>81</v>
      </c>
      <c r="B28" s="151">
        <v>1922</v>
      </c>
      <c r="C28" s="71" t="s">
        <v>217</v>
      </c>
      <c r="D28" s="71" t="s">
        <v>10</v>
      </c>
      <c r="E28" s="47" t="s">
        <v>5</v>
      </c>
      <c r="F28" s="48"/>
      <c r="G28" s="1202">
        <v>5</v>
      </c>
      <c r="H28" s="1202">
        <v>11</v>
      </c>
      <c r="I28" s="1202">
        <v>9</v>
      </c>
      <c r="J28" s="1202">
        <v>3</v>
      </c>
      <c r="K28" s="1202">
        <v>2</v>
      </c>
      <c r="L28" s="1203"/>
      <c r="M28" s="1203"/>
      <c r="N28" s="1204"/>
      <c r="O28" s="155">
        <f t="shared" si="18"/>
        <v>279</v>
      </c>
      <c r="P28" s="175">
        <f t="shared" si="12"/>
        <v>30</v>
      </c>
      <c r="Q28" s="638" t="str">
        <f t="shared" si="19"/>
        <v>NO</v>
      </c>
      <c r="R28" s="627" t="str">
        <f t="shared" si="20"/>
        <v/>
      </c>
      <c r="S28" s="128" t="str">
        <f t="shared" si="21"/>
        <v xml:space="preserve"> </v>
      </c>
    </row>
    <row r="29" spans="1:19" ht="18.75" x14ac:dyDescent="0.25">
      <c r="A29" s="25" t="s">
        <v>81</v>
      </c>
      <c r="B29" s="151">
        <v>1249</v>
      </c>
      <c r="C29" s="71" t="s">
        <v>216</v>
      </c>
      <c r="D29" s="127" t="s">
        <v>10</v>
      </c>
      <c r="E29" s="47" t="s">
        <v>5</v>
      </c>
      <c r="F29" s="48"/>
      <c r="G29" s="1202">
        <v>7</v>
      </c>
      <c r="H29" s="1202">
        <v>6</v>
      </c>
      <c r="I29" s="1202">
        <v>14</v>
      </c>
      <c r="J29" s="1202">
        <v>1</v>
      </c>
      <c r="K29" s="1202">
        <v>2</v>
      </c>
      <c r="L29" s="1203"/>
      <c r="M29" s="1203"/>
      <c r="N29" s="1204"/>
      <c r="O29" s="155">
        <f t="shared" si="18"/>
        <v>278</v>
      </c>
      <c r="P29" s="175">
        <f t="shared" si="12"/>
        <v>30</v>
      </c>
      <c r="Q29" s="638" t="str">
        <f t="shared" si="19"/>
        <v>NO</v>
      </c>
      <c r="R29" s="627" t="str">
        <f t="shared" si="20"/>
        <v/>
      </c>
      <c r="S29" s="128" t="str">
        <f t="shared" si="21"/>
        <v xml:space="preserve"> </v>
      </c>
    </row>
    <row r="30" spans="1:19" ht="18.75" x14ac:dyDescent="0.25">
      <c r="A30" s="25" t="s">
        <v>81</v>
      </c>
      <c r="B30" s="151">
        <v>2582</v>
      </c>
      <c r="C30" s="71" t="s">
        <v>71</v>
      </c>
      <c r="D30" s="127" t="s">
        <v>10</v>
      </c>
      <c r="E30" s="47" t="s">
        <v>5</v>
      </c>
      <c r="F30" s="48">
        <v>1</v>
      </c>
      <c r="G30" s="1205">
        <v>2</v>
      </c>
      <c r="H30" s="1205">
        <v>9</v>
      </c>
      <c r="I30" s="1205">
        <v>16</v>
      </c>
      <c r="J30" s="1205">
        <v>3</v>
      </c>
      <c r="K30" s="879"/>
      <c r="L30" s="879"/>
      <c r="M30" s="879"/>
      <c r="N30" s="879"/>
      <c r="O30" s="155">
        <f t="shared" si="18"/>
        <v>278</v>
      </c>
      <c r="P30" s="175">
        <f t="shared" si="12"/>
        <v>30</v>
      </c>
      <c r="Q30" s="638" t="str">
        <f t="shared" si="19"/>
        <v>NO</v>
      </c>
      <c r="R30" s="627" t="str">
        <f t="shared" si="20"/>
        <v/>
      </c>
      <c r="S30" s="128" t="str">
        <f t="shared" si="21"/>
        <v xml:space="preserve"> </v>
      </c>
    </row>
    <row r="31" spans="1:19" ht="18.75" x14ac:dyDescent="0.25">
      <c r="A31" s="25" t="s">
        <v>81</v>
      </c>
      <c r="B31" s="151">
        <v>1629</v>
      </c>
      <c r="C31" s="71" t="s">
        <v>226</v>
      </c>
      <c r="D31" s="127" t="s">
        <v>11</v>
      </c>
      <c r="E31" s="47" t="s">
        <v>5</v>
      </c>
      <c r="F31" s="48"/>
      <c r="G31" s="1205">
        <v>3</v>
      </c>
      <c r="H31" s="1205">
        <v>7</v>
      </c>
      <c r="I31" s="1205">
        <v>17</v>
      </c>
      <c r="J31" s="1205">
        <v>2</v>
      </c>
      <c r="K31" s="879">
        <v>1</v>
      </c>
      <c r="L31" s="879"/>
      <c r="M31" s="879"/>
      <c r="N31" s="879"/>
      <c r="O31" s="155">
        <f t="shared" si="18"/>
        <v>276</v>
      </c>
      <c r="P31" s="195">
        <f>SUM(G31:N31)</f>
        <v>30</v>
      </c>
      <c r="Q31" s="638" t="str">
        <f>IF(O31&gt;279,"Yes","NO")</f>
        <v>NO</v>
      </c>
      <c r="R31" s="627" t="str">
        <f>IF(Q31="yes","S","")</f>
        <v/>
      </c>
      <c r="S31" s="128" t="str">
        <f>IF(O31=0," ",IF(P31&lt;&gt;30,"ERROR!"," "))</f>
        <v xml:space="preserve"> </v>
      </c>
    </row>
    <row r="32" spans="1:19" ht="18.75" x14ac:dyDescent="0.25">
      <c r="A32" s="25" t="s">
        <v>81</v>
      </c>
      <c r="B32" s="151">
        <v>1853</v>
      </c>
      <c r="C32" s="71" t="s">
        <v>40</v>
      </c>
      <c r="D32" s="127" t="s">
        <v>11</v>
      </c>
      <c r="E32" s="47" t="s">
        <v>5</v>
      </c>
      <c r="F32" s="48" t="e">
        <f>VLOOKUP(E32,$X$7:$Y$16,2,FALSE)</f>
        <v>#N/A</v>
      </c>
      <c r="G32" s="1206">
        <v>2</v>
      </c>
      <c r="H32" s="1206">
        <v>9</v>
      </c>
      <c r="I32" s="1206">
        <v>15</v>
      </c>
      <c r="J32" s="1206">
        <v>2</v>
      </c>
      <c r="K32" s="1202">
        <v>2</v>
      </c>
      <c r="L32" s="1203"/>
      <c r="M32" s="1203"/>
      <c r="N32" s="1204"/>
      <c r="O32" s="155">
        <f t="shared" si="18"/>
        <v>275</v>
      </c>
      <c r="P32" s="195">
        <f>SUM(G32:N32)</f>
        <v>30</v>
      </c>
      <c r="Q32" s="638" t="str">
        <f>IF(O32&gt;279,"Yes","NO")</f>
        <v>NO</v>
      </c>
      <c r="R32" s="627"/>
      <c r="S32" s="128"/>
    </row>
    <row r="33" spans="1:19" ht="18.75" x14ac:dyDescent="0.3">
      <c r="A33" s="25" t="s">
        <v>81</v>
      </c>
      <c r="B33" s="151">
        <v>2035</v>
      </c>
      <c r="C33" s="71" t="s">
        <v>222</v>
      </c>
      <c r="D33" s="127" t="s">
        <v>11</v>
      </c>
      <c r="E33" s="47" t="s">
        <v>5</v>
      </c>
      <c r="F33" s="48"/>
      <c r="G33" s="1207">
        <v>4</v>
      </c>
      <c r="H33" s="1207">
        <v>6</v>
      </c>
      <c r="I33" s="1207">
        <v>14</v>
      </c>
      <c r="J33" s="1207">
        <v>5</v>
      </c>
      <c r="K33" s="1207">
        <v>1</v>
      </c>
      <c r="L33" s="1203"/>
      <c r="M33" s="1203"/>
      <c r="N33" s="1208"/>
      <c r="O33" s="155">
        <f t="shared" si="18"/>
        <v>273</v>
      </c>
      <c r="P33" s="175">
        <f t="shared" si="12"/>
        <v>30</v>
      </c>
      <c r="Q33" s="638" t="str">
        <f t="shared" si="19"/>
        <v>NO</v>
      </c>
      <c r="R33" s="627" t="str">
        <f t="shared" si="20"/>
        <v/>
      </c>
      <c r="S33" s="128" t="str">
        <f t="shared" si="21"/>
        <v xml:space="preserve"> </v>
      </c>
    </row>
    <row r="34" spans="1:19" ht="18.75" x14ac:dyDescent="0.3">
      <c r="A34" s="25" t="s">
        <v>81</v>
      </c>
      <c r="B34" s="151">
        <v>1170</v>
      </c>
      <c r="C34" s="71" t="s">
        <v>225</v>
      </c>
      <c r="D34" s="127" t="s">
        <v>11</v>
      </c>
      <c r="E34" s="47" t="s">
        <v>5</v>
      </c>
      <c r="F34" s="48"/>
      <c r="G34" s="1205">
        <v>2</v>
      </c>
      <c r="H34" s="1205">
        <v>6</v>
      </c>
      <c r="I34" s="1205">
        <v>15</v>
      </c>
      <c r="J34" s="1205">
        <v>5</v>
      </c>
      <c r="K34" s="1205">
        <v>2</v>
      </c>
      <c r="L34" s="1203"/>
      <c r="M34" s="1203"/>
      <c r="N34" s="1208"/>
      <c r="O34" s="155">
        <f t="shared" si="18"/>
        <v>269</v>
      </c>
      <c r="P34" s="175">
        <f t="shared" si="12"/>
        <v>30</v>
      </c>
      <c r="Q34" s="638" t="str">
        <f t="shared" si="19"/>
        <v>NO</v>
      </c>
      <c r="R34" s="627"/>
      <c r="S34" s="128"/>
    </row>
    <row r="35" spans="1:19" ht="18.75" x14ac:dyDescent="0.25">
      <c r="A35" s="25" t="s">
        <v>81</v>
      </c>
      <c r="B35" s="151">
        <v>1225</v>
      </c>
      <c r="C35" s="71" t="s">
        <v>183</v>
      </c>
      <c r="D35" s="127" t="s">
        <v>12</v>
      </c>
      <c r="E35" s="47" t="s">
        <v>5</v>
      </c>
      <c r="F35" s="48"/>
      <c r="G35" s="1206">
        <v>1</v>
      </c>
      <c r="H35" s="1206">
        <v>7</v>
      </c>
      <c r="I35" s="1206">
        <v>14</v>
      </c>
      <c r="J35" s="1206">
        <v>6</v>
      </c>
      <c r="K35" s="1206">
        <v>2</v>
      </c>
      <c r="L35" s="1203"/>
      <c r="M35" s="1203"/>
      <c r="N35" s="1204"/>
      <c r="O35" s="155">
        <f t="shared" si="18"/>
        <v>268</v>
      </c>
      <c r="P35" s="175">
        <f t="shared" ref="P35" si="22">SUM(G35:N35)</f>
        <v>30</v>
      </c>
      <c r="Q35" s="638" t="str">
        <f t="shared" ref="Q35" si="23">IF(O35&gt;279,"Yes","NO")</f>
        <v>NO</v>
      </c>
      <c r="R35" s="627"/>
      <c r="S35" s="128"/>
    </row>
    <row r="36" spans="1:19" ht="18.75" x14ac:dyDescent="0.3">
      <c r="A36" s="25" t="s">
        <v>81</v>
      </c>
      <c r="B36" s="151">
        <v>2009</v>
      </c>
      <c r="C36" s="71" t="s">
        <v>234</v>
      </c>
      <c r="D36" s="127" t="s">
        <v>10</v>
      </c>
      <c r="E36" s="47" t="s">
        <v>5</v>
      </c>
      <c r="F36" s="48"/>
      <c r="G36" s="1207">
        <v>6</v>
      </c>
      <c r="H36" s="1207">
        <v>5</v>
      </c>
      <c r="I36" s="1207">
        <v>9</v>
      </c>
      <c r="J36" s="1207">
        <v>5</v>
      </c>
      <c r="K36" s="1207">
        <v>3</v>
      </c>
      <c r="L36" s="1203">
        <v>2</v>
      </c>
      <c r="M36" s="1203"/>
      <c r="N36" s="1208"/>
      <c r="O36" s="155">
        <f t="shared" ref="O36:O45" si="24">(G36*10)+(H36*10)+(I36*9)+(J36*8)+(K36*7)+(L36*6)+(M36*5)</f>
        <v>264</v>
      </c>
      <c r="P36" s="175">
        <f t="shared" ref="P36:P38" si="25">SUM(G36:N36)</f>
        <v>30</v>
      </c>
      <c r="Q36" s="638" t="str">
        <f t="shared" si="19"/>
        <v>NO</v>
      </c>
      <c r="R36" s="627" t="str">
        <f t="shared" si="20"/>
        <v/>
      </c>
      <c r="S36" s="128" t="str">
        <f t="shared" si="21"/>
        <v xml:space="preserve"> </v>
      </c>
    </row>
    <row r="37" spans="1:19" ht="18.75" x14ac:dyDescent="0.25">
      <c r="A37" s="25" t="s">
        <v>81</v>
      </c>
      <c r="B37" s="151">
        <v>1982</v>
      </c>
      <c r="C37" s="71" t="s">
        <v>73</v>
      </c>
      <c r="D37" s="127" t="s">
        <v>12</v>
      </c>
      <c r="E37" s="47" t="s">
        <v>5</v>
      </c>
      <c r="F37" s="48" t="e">
        <f>VLOOKUP(E37,$X$7:$Y$16,2,FALSE)</f>
        <v>#N/A</v>
      </c>
      <c r="G37" s="1206">
        <v>2</v>
      </c>
      <c r="H37" s="1206">
        <v>9</v>
      </c>
      <c r="I37" s="1206">
        <v>11</v>
      </c>
      <c r="J37" s="1206">
        <v>6</v>
      </c>
      <c r="K37" s="1206">
        <v>1</v>
      </c>
      <c r="L37" s="1209"/>
      <c r="M37" s="1209"/>
      <c r="N37" s="1211">
        <v>1</v>
      </c>
      <c r="O37" s="155">
        <f t="shared" si="24"/>
        <v>264</v>
      </c>
      <c r="P37" s="175">
        <f t="shared" ref="P37" si="26">SUM(G37:N37)</f>
        <v>30</v>
      </c>
      <c r="Q37" s="638" t="str">
        <f t="shared" ref="Q37" si="27">IF(O37&gt;279,"Yes","NO")</f>
        <v>NO</v>
      </c>
      <c r="R37" s="627"/>
      <c r="S37" s="128"/>
    </row>
    <row r="38" spans="1:19" ht="18.75" x14ac:dyDescent="0.3">
      <c r="A38" s="25" t="s">
        <v>81</v>
      </c>
      <c r="B38" s="151">
        <v>1143</v>
      </c>
      <c r="C38" s="72" t="s">
        <v>58</v>
      </c>
      <c r="D38" s="127" t="s">
        <v>12</v>
      </c>
      <c r="E38" s="47" t="s">
        <v>5</v>
      </c>
      <c r="F38" s="48">
        <v>1</v>
      </c>
      <c r="G38" s="1205">
        <v>1</v>
      </c>
      <c r="H38" s="1205">
        <v>6</v>
      </c>
      <c r="I38" s="1205">
        <v>10</v>
      </c>
      <c r="J38" s="1205">
        <v>5</v>
      </c>
      <c r="K38" s="1205">
        <v>7</v>
      </c>
      <c r="L38" s="1209">
        <v>1</v>
      </c>
      <c r="M38" s="1209"/>
      <c r="N38" s="1210"/>
      <c r="O38" s="155">
        <f t="shared" si="24"/>
        <v>255</v>
      </c>
      <c r="P38" s="175">
        <f t="shared" si="25"/>
        <v>30</v>
      </c>
      <c r="Q38" s="638" t="str">
        <f t="shared" si="19"/>
        <v>NO</v>
      </c>
      <c r="R38" s="627" t="str">
        <f t="shared" si="20"/>
        <v/>
      </c>
      <c r="S38" s="128" t="str">
        <f t="shared" si="21"/>
        <v xml:space="preserve"> </v>
      </c>
    </row>
    <row r="39" spans="1:19" ht="18.75" x14ac:dyDescent="0.25">
      <c r="A39" s="25" t="s">
        <v>81</v>
      </c>
      <c r="B39" s="151">
        <v>1580</v>
      </c>
      <c r="C39" s="71" t="s">
        <v>76</v>
      </c>
      <c r="D39" s="127" t="s">
        <v>12</v>
      </c>
      <c r="E39" s="47" t="s">
        <v>5</v>
      </c>
      <c r="F39" s="48"/>
      <c r="G39" s="978">
        <v>1</v>
      </c>
      <c r="H39" s="978">
        <v>6</v>
      </c>
      <c r="I39" s="978">
        <v>10</v>
      </c>
      <c r="J39" s="978">
        <v>7</v>
      </c>
      <c r="K39" s="978">
        <v>2</v>
      </c>
      <c r="L39" s="884">
        <v>4</v>
      </c>
      <c r="M39" s="884"/>
      <c r="N39" s="979"/>
      <c r="O39" s="155">
        <f t="shared" si="24"/>
        <v>254</v>
      </c>
      <c r="P39" s="175">
        <f t="shared" ref="P39" si="28">SUM(G39:N39)</f>
        <v>30</v>
      </c>
      <c r="Q39" s="638" t="str">
        <f t="shared" ref="Q39" si="29">IF(O39&gt;279,"Yes","NO")</f>
        <v>NO</v>
      </c>
      <c r="R39" s="627"/>
      <c r="S39" s="128"/>
    </row>
    <row r="40" spans="1:19" ht="18.75" x14ac:dyDescent="0.3">
      <c r="A40" s="25" t="s">
        <v>81</v>
      </c>
      <c r="B40" s="157">
        <v>1767</v>
      </c>
      <c r="C40" s="72" t="s">
        <v>224</v>
      </c>
      <c r="D40" s="127" t="s">
        <v>11</v>
      </c>
      <c r="E40" s="47" t="s">
        <v>5</v>
      </c>
      <c r="F40" s="48"/>
      <c r="G40" s="1205">
        <v>1</v>
      </c>
      <c r="H40" s="1205">
        <v>5</v>
      </c>
      <c r="I40" s="1205">
        <v>12</v>
      </c>
      <c r="J40" s="1205">
        <v>3</v>
      </c>
      <c r="K40" s="1205">
        <v>4</v>
      </c>
      <c r="L40" s="1209">
        <v>4</v>
      </c>
      <c r="M40" s="1209">
        <v>1</v>
      </c>
      <c r="N40" s="1210"/>
      <c r="O40" s="155">
        <f t="shared" si="24"/>
        <v>249</v>
      </c>
      <c r="P40" s="175">
        <f t="shared" ref="P40" si="30">SUM(G40:N40)</f>
        <v>30</v>
      </c>
      <c r="Q40" s="638" t="str">
        <f t="shared" ref="Q40" si="31">IF(O40&gt;279,"Yes","NO")</f>
        <v>NO</v>
      </c>
      <c r="R40" s="627"/>
      <c r="S40" s="128"/>
    </row>
    <row r="41" spans="1:19" ht="18.75" x14ac:dyDescent="0.25">
      <c r="A41" s="25" t="s">
        <v>81</v>
      </c>
      <c r="B41" s="151">
        <v>2361</v>
      </c>
      <c r="C41" s="71" t="s">
        <v>279</v>
      </c>
      <c r="D41" s="127" t="s">
        <v>12</v>
      </c>
      <c r="E41" s="47" t="s">
        <v>5</v>
      </c>
      <c r="F41" s="48"/>
      <c r="G41" s="978">
        <v>3</v>
      </c>
      <c r="H41" s="978">
        <v>5</v>
      </c>
      <c r="I41" s="978">
        <v>8</v>
      </c>
      <c r="J41" s="978">
        <v>9</v>
      </c>
      <c r="K41" s="978">
        <v>3</v>
      </c>
      <c r="L41" s="884"/>
      <c r="M41" s="884"/>
      <c r="N41" s="979">
        <v>2</v>
      </c>
      <c r="O41" s="155">
        <f t="shared" si="24"/>
        <v>245</v>
      </c>
      <c r="P41" s="175">
        <f t="shared" ref="P41" si="32">SUM(G41:N41)</f>
        <v>30</v>
      </c>
      <c r="Q41" s="638" t="str">
        <f t="shared" ref="Q41" si="33">IF(O41&gt;279,"Yes","NO")</f>
        <v>NO</v>
      </c>
      <c r="R41" s="627"/>
      <c r="S41" s="128"/>
    </row>
    <row r="42" spans="1:19" ht="18.75" x14ac:dyDescent="0.3">
      <c r="A42" s="25" t="s">
        <v>81</v>
      </c>
      <c r="B42" s="157">
        <v>1615</v>
      </c>
      <c r="C42" s="72" t="s">
        <v>185</v>
      </c>
      <c r="D42" s="127" t="s">
        <v>12</v>
      </c>
      <c r="E42" s="47" t="s">
        <v>5</v>
      </c>
      <c r="F42" s="48"/>
      <c r="G42" s="1205">
        <v>1</v>
      </c>
      <c r="H42" s="1205">
        <v>4</v>
      </c>
      <c r="I42" s="1205">
        <v>11</v>
      </c>
      <c r="J42" s="1205">
        <v>7</v>
      </c>
      <c r="K42" s="1205">
        <v>4</v>
      </c>
      <c r="L42" s="1209">
        <v>2</v>
      </c>
      <c r="M42" s="1209"/>
      <c r="N42" s="1210">
        <v>1</v>
      </c>
      <c r="O42" s="155">
        <f t="shared" si="24"/>
        <v>245</v>
      </c>
      <c r="P42" s="175">
        <f t="shared" ref="P42" si="34">SUM(G42:N42)</f>
        <v>30</v>
      </c>
      <c r="Q42" s="638" t="str">
        <f t="shared" ref="Q42" si="35">IF(O42&gt;279,"Yes","NO")</f>
        <v>NO</v>
      </c>
      <c r="R42" s="627"/>
      <c r="S42" s="128"/>
    </row>
    <row r="43" spans="1:19" ht="18.75" x14ac:dyDescent="0.25">
      <c r="A43" s="25" t="s">
        <v>81</v>
      </c>
      <c r="B43" s="157">
        <v>1723</v>
      </c>
      <c r="C43" s="72" t="s">
        <v>84</v>
      </c>
      <c r="D43" s="127" t="s">
        <v>12</v>
      </c>
      <c r="E43" s="47" t="s">
        <v>5</v>
      </c>
      <c r="F43" s="48" t="e">
        <f>VLOOKUP(E43,$X$7:$Y$16,2,FALSE)</f>
        <v>#N/A</v>
      </c>
      <c r="G43" s="974">
        <v>0</v>
      </c>
      <c r="H43" s="974">
        <v>2</v>
      </c>
      <c r="I43" s="974">
        <v>5</v>
      </c>
      <c r="J43" s="974">
        <v>7</v>
      </c>
      <c r="K43" s="974">
        <v>3</v>
      </c>
      <c r="L43" s="881">
        <v>8</v>
      </c>
      <c r="M43" s="881">
        <v>2</v>
      </c>
      <c r="N43" s="975">
        <v>3</v>
      </c>
      <c r="O43" s="155">
        <f t="shared" si="24"/>
        <v>200</v>
      </c>
      <c r="P43" s="175">
        <f t="shared" ref="P43" si="36">SUM(G43:N43)</f>
        <v>30</v>
      </c>
      <c r="Q43" s="638" t="str">
        <f t="shared" si="19"/>
        <v>NO</v>
      </c>
      <c r="R43" s="627" t="str">
        <f t="shared" si="20"/>
        <v/>
      </c>
      <c r="S43" s="128" t="str">
        <f t="shared" si="21"/>
        <v xml:space="preserve"> </v>
      </c>
    </row>
    <row r="44" spans="1:19" ht="18.75" x14ac:dyDescent="0.25">
      <c r="A44" s="25" t="s">
        <v>81</v>
      </c>
      <c r="B44" s="151">
        <v>2233</v>
      </c>
      <c r="C44" s="71" t="s">
        <v>195</v>
      </c>
      <c r="D44" s="127" t="s">
        <v>12</v>
      </c>
      <c r="E44" s="47" t="s">
        <v>5</v>
      </c>
      <c r="F44" s="48" t="e">
        <f>VLOOKUP(E44,$X$7:$Y$16,2,FALSE)</f>
        <v>#N/A</v>
      </c>
      <c r="G44" s="1431">
        <v>1</v>
      </c>
      <c r="H44" s="1431">
        <v>1</v>
      </c>
      <c r="I44" s="1431">
        <v>4</v>
      </c>
      <c r="J44" s="1431">
        <v>6</v>
      </c>
      <c r="K44" s="1431">
        <v>9</v>
      </c>
      <c r="L44" s="889">
        <v>4</v>
      </c>
      <c r="M44" s="889"/>
      <c r="N44" s="1432">
        <v>5</v>
      </c>
      <c r="O44" s="155">
        <f t="shared" si="24"/>
        <v>191</v>
      </c>
      <c r="P44" s="175">
        <f t="shared" ref="P44" si="37">SUM(G44:N44)</f>
        <v>30</v>
      </c>
      <c r="Q44" s="638" t="str">
        <f t="shared" ref="Q44" si="38">IF(O44&gt;279,"Yes","NO")</f>
        <v>NO</v>
      </c>
      <c r="R44" s="627"/>
      <c r="S44" s="128"/>
    </row>
    <row r="45" spans="1:19" ht="18.75" x14ac:dyDescent="0.25">
      <c r="A45" s="25" t="s">
        <v>81</v>
      </c>
      <c r="B45" s="151">
        <v>2239</v>
      </c>
      <c r="C45" s="71" t="s">
        <v>190</v>
      </c>
      <c r="D45" s="127" t="s">
        <v>12</v>
      </c>
      <c r="E45" s="47" t="s">
        <v>5</v>
      </c>
      <c r="F45" s="48"/>
      <c r="G45" s="1202">
        <v>0</v>
      </c>
      <c r="H45" s="1202">
        <v>0</v>
      </c>
      <c r="I45" s="1202">
        <v>0</v>
      </c>
      <c r="J45" s="1202">
        <v>9</v>
      </c>
      <c r="K45" s="1202">
        <v>5</v>
      </c>
      <c r="L45" s="1203">
        <v>3</v>
      </c>
      <c r="M45" s="1203">
        <v>2</v>
      </c>
      <c r="N45" s="1204">
        <v>11</v>
      </c>
      <c r="O45" s="155">
        <f t="shared" si="24"/>
        <v>135</v>
      </c>
      <c r="P45" s="175">
        <f t="shared" ref="P45" si="39">SUM(G45:N45)</f>
        <v>30</v>
      </c>
      <c r="Q45" s="638" t="str">
        <f t="shared" ref="Q45" si="40">IF(O45&gt;279,"Yes","NO")</f>
        <v>NO</v>
      </c>
      <c r="R45" s="627"/>
      <c r="S45" s="128"/>
    </row>
    <row r="46" spans="1:19" ht="19.5" thickBot="1" x14ac:dyDescent="0.3">
      <c r="A46" s="3"/>
      <c r="B46" s="188">
        <f>COUNT(B7:B45)</f>
        <v>39</v>
      </c>
      <c r="C46" s="1622" t="s">
        <v>78</v>
      </c>
      <c r="D46" s="1623"/>
      <c r="E46" s="1624" t="s">
        <v>79</v>
      </c>
      <c r="F46" s="1625"/>
      <c r="G46" s="1625"/>
      <c r="H46" s="1625"/>
      <c r="I46" s="1625"/>
      <c r="J46" s="1625"/>
      <c r="K46" s="1625"/>
      <c r="L46" s="1625"/>
      <c r="M46" s="1625"/>
      <c r="N46" s="1625"/>
      <c r="O46" s="1625"/>
      <c r="P46" s="1626"/>
      <c r="Q46" s="635"/>
      <c r="R46" s="628"/>
      <c r="S46" s="5"/>
    </row>
  </sheetData>
  <sortState ref="B19:O25">
    <sortCondition descending="1" ref="O19"/>
  </sortState>
  <mergeCells count="5">
    <mergeCell ref="B3:R3"/>
    <mergeCell ref="C5:O5"/>
    <mergeCell ref="C46:D46"/>
    <mergeCell ref="E46:P46"/>
    <mergeCell ref="A1:S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1"/>
  <sheetViews>
    <sheetView workbookViewId="0">
      <selection activeCell="T13" sqref="T13"/>
    </sheetView>
  </sheetViews>
  <sheetFormatPr defaultRowHeight="15" x14ac:dyDescent="0.25"/>
  <cols>
    <col min="1" max="1" width="6.7109375" customWidth="1"/>
    <col min="2" max="2" width="7.7109375" customWidth="1"/>
    <col min="3" max="3" width="21.5703125" customWidth="1"/>
    <col min="6" max="6" width="0" hidden="1" customWidth="1"/>
    <col min="17" max="17" width="2.140625" customWidth="1"/>
    <col min="18" max="18" width="0.5703125" customWidth="1"/>
  </cols>
  <sheetData>
    <row r="1" spans="1:20" ht="15.75" thickBot="1" x14ac:dyDescent="0.3"/>
    <row r="2" spans="1:20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  <c r="T2" s="189"/>
    </row>
    <row r="3" spans="1:20" ht="16.5" thickBot="1" x14ac:dyDescent="0.3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4"/>
      <c r="P3" s="10"/>
      <c r="Q3" s="3"/>
      <c r="R3" s="3"/>
      <c r="S3" s="3"/>
      <c r="T3" s="3"/>
    </row>
    <row r="4" spans="1:20" ht="24" thickBot="1" x14ac:dyDescent="0.3">
      <c r="A4" s="1590" t="s">
        <v>15</v>
      </c>
      <c r="B4" s="1591"/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2"/>
      <c r="P4" s="546"/>
      <c r="Q4" s="546"/>
      <c r="R4" s="546"/>
      <c r="S4" s="546"/>
      <c r="T4" s="11"/>
    </row>
    <row r="5" spans="1:20" ht="16.5" thickBot="1" x14ac:dyDescent="0.3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4"/>
      <c r="P5" s="10"/>
      <c r="Q5" s="3"/>
      <c r="R5" s="3"/>
      <c r="S5" s="3"/>
      <c r="T5" s="3"/>
    </row>
    <row r="6" spans="1:20" ht="27" thickBot="1" x14ac:dyDescent="0.3">
      <c r="A6" s="3"/>
      <c r="B6" s="4"/>
      <c r="C6" s="1641" t="s">
        <v>85</v>
      </c>
      <c r="D6" s="1642"/>
      <c r="E6" s="1642"/>
      <c r="F6" s="1642"/>
      <c r="G6" s="1642"/>
      <c r="H6" s="1642"/>
      <c r="I6" s="1642"/>
      <c r="J6" s="1642"/>
      <c r="K6" s="1642"/>
      <c r="L6" s="1642"/>
      <c r="M6" s="1642"/>
      <c r="N6" s="1642"/>
      <c r="O6" s="1643"/>
      <c r="P6" s="10"/>
      <c r="Q6" s="3"/>
      <c r="R6" s="3"/>
      <c r="S6" s="3"/>
      <c r="T6" s="5"/>
    </row>
    <row r="7" spans="1:20" ht="32.25" thickBot="1" x14ac:dyDescent="0.3">
      <c r="A7" s="3"/>
      <c r="B7" s="135" t="s">
        <v>17</v>
      </c>
      <c r="C7" s="16" t="s">
        <v>18</v>
      </c>
      <c r="D7" s="190" t="s">
        <v>19</v>
      </c>
      <c r="E7" s="191" t="s">
        <v>20</v>
      </c>
      <c r="F7" s="192"/>
      <c r="G7" s="137" t="s">
        <v>21</v>
      </c>
      <c r="H7" s="138">
        <v>10</v>
      </c>
      <c r="I7" s="138">
        <v>9</v>
      </c>
      <c r="J7" s="138">
        <v>8</v>
      </c>
      <c r="K7" s="138">
        <v>7</v>
      </c>
      <c r="L7" s="139">
        <v>6</v>
      </c>
      <c r="M7" s="140">
        <v>5</v>
      </c>
      <c r="N7" s="141">
        <v>0</v>
      </c>
      <c r="O7" s="142" t="s">
        <v>22</v>
      </c>
      <c r="P7" s="143" t="s">
        <v>42</v>
      </c>
      <c r="Q7" s="76"/>
      <c r="R7" s="511"/>
      <c r="S7" s="543"/>
      <c r="T7" s="544"/>
    </row>
    <row r="8" spans="1:20" ht="18.75" x14ac:dyDescent="0.25">
      <c r="A8" s="25" t="s">
        <v>86</v>
      </c>
      <c r="B8" s="273">
        <v>786</v>
      </c>
      <c r="C8" s="648" t="s">
        <v>215</v>
      </c>
      <c r="D8" s="1089" t="s">
        <v>10</v>
      </c>
      <c r="E8" s="645" t="s">
        <v>9</v>
      </c>
      <c r="F8" s="130"/>
      <c r="G8" s="146">
        <v>10</v>
      </c>
      <c r="H8" s="146">
        <v>15</v>
      </c>
      <c r="I8" s="146">
        <v>5</v>
      </c>
      <c r="J8" s="146"/>
      <c r="K8" s="146"/>
      <c r="L8" s="193"/>
      <c r="M8" s="646"/>
      <c r="N8" s="280"/>
      <c r="O8" s="194">
        <f t="shared" ref="O8:O16" si="0">(G8*10)+(H8*10)+(I8*9)+(J8*8)+(K8*7)+(L8*6)+(M8*5)</f>
        <v>295</v>
      </c>
      <c r="P8" s="222">
        <f>SUM(G8:N8)</f>
        <v>30</v>
      </c>
      <c r="Q8" s="76"/>
      <c r="R8" s="1644"/>
      <c r="S8" s="1644"/>
      <c r="T8" s="545"/>
    </row>
    <row r="9" spans="1:20" ht="18.75" x14ac:dyDescent="0.25">
      <c r="A9" s="25" t="s">
        <v>86</v>
      </c>
      <c r="B9" s="240">
        <v>2149</v>
      </c>
      <c r="C9" s="580" t="s">
        <v>273</v>
      </c>
      <c r="D9" s="642" t="s">
        <v>61</v>
      </c>
      <c r="E9" s="120" t="s">
        <v>9</v>
      </c>
      <c r="F9" s="643"/>
      <c r="G9" s="152">
        <v>9</v>
      </c>
      <c r="H9" s="152">
        <v>15</v>
      </c>
      <c r="I9" s="152">
        <v>6</v>
      </c>
      <c r="J9" s="152"/>
      <c r="K9" s="152"/>
      <c r="L9" s="197"/>
      <c r="M9" s="647"/>
      <c r="N9" s="290"/>
      <c r="O9" s="198">
        <f t="shared" si="0"/>
        <v>294</v>
      </c>
      <c r="P9" s="222">
        <f t="shared" ref="P9" si="1">SUM(G9:N9)</f>
        <v>30</v>
      </c>
      <c r="Q9" s="76"/>
      <c r="R9" s="1644"/>
      <c r="S9" s="1644"/>
      <c r="T9" s="545"/>
    </row>
    <row r="10" spans="1:20" ht="18.75" x14ac:dyDescent="0.25">
      <c r="A10" s="25" t="s">
        <v>86</v>
      </c>
      <c r="B10" s="240">
        <v>1786</v>
      </c>
      <c r="C10" s="580" t="s">
        <v>290</v>
      </c>
      <c r="D10" s="642" t="s">
        <v>12</v>
      </c>
      <c r="E10" s="847" t="s">
        <v>9</v>
      </c>
      <c r="F10" s="643"/>
      <c r="G10" s="152">
        <v>3</v>
      </c>
      <c r="H10" s="152">
        <v>17</v>
      </c>
      <c r="I10" s="152">
        <v>10</v>
      </c>
      <c r="J10" s="152"/>
      <c r="K10" s="152"/>
      <c r="L10" s="197"/>
      <c r="M10" s="647"/>
      <c r="N10" s="290"/>
      <c r="O10" s="198">
        <f t="shared" si="0"/>
        <v>290</v>
      </c>
      <c r="P10" s="222">
        <f t="shared" ref="P10" si="2">SUM(G10:N10)</f>
        <v>30</v>
      </c>
      <c r="Q10" s="76"/>
      <c r="R10" s="1644"/>
      <c r="S10" s="1644"/>
      <c r="T10" s="545"/>
    </row>
    <row r="11" spans="1:20" ht="18.75" x14ac:dyDescent="0.25">
      <c r="A11" s="25" t="s">
        <v>86</v>
      </c>
      <c r="B11" s="240">
        <v>638</v>
      </c>
      <c r="C11" s="580" t="s">
        <v>199</v>
      </c>
      <c r="D11" s="642" t="s">
        <v>12</v>
      </c>
      <c r="E11" s="847" t="s">
        <v>9</v>
      </c>
      <c r="F11" s="644"/>
      <c r="G11" s="152">
        <v>6</v>
      </c>
      <c r="H11" s="152">
        <v>11</v>
      </c>
      <c r="I11" s="152">
        <v>10</v>
      </c>
      <c r="J11" s="152">
        <v>3</v>
      </c>
      <c r="K11" s="152"/>
      <c r="L11" s="197"/>
      <c r="M11" s="647"/>
      <c r="N11" s="290"/>
      <c r="O11" s="198">
        <f t="shared" si="0"/>
        <v>284</v>
      </c>
      <c r="P11" s="222">
        <f t="shared" ref="P11:P13" si="3">SUM(G11:N11)</f>
        <v>30</v>
      </c>
      <c r="Q11" s="76"/>
      <c r="R11" s="1644"/>
      <c r="S11" s="1644"/>
      <c r="T11" s="545"/>
    </row>
    <row r="12" spans="1:20" ht="18.75" x14ac:dyDescent="0.25">
      <c r="A12" s="25" t="s">
        <v>86</v>
      </c>
      <c r="B12" s="240">
        <v>786</v>
      </c>
      <c r="C12" s="580" t="s">
        <v>70</v>
      </c>
      <c r="D12" s="1088" t="s">
        <v>7</v>
      </c>
      <c r="E12" s="847" t="s">
        <v>9</v>
      </c>
      <c r="F12" s="643"/>
      <c r="G12" s="152">
        <v>1</v>
      </c>
      <c r="H12" s="152">
        <v>12</v>
      </c>
      <c r="I12" s="152">
        <v>17</v>
      </c>
      <c r="J12" s="152"/>
      <c r="K12" s="152"/>
      <c r="L12" s="197"/>
      <c r="M12" s="647"/>
      <c r="N12" s="290"/>
      <c r="O12" s="198">
        <f t="shared" si="0"/>
        <v>283</v>
      </c>
      <c r="P12" s="222">
        <f t="shared" ref="P12" si="4">SUM(G12:N12)</f>
        <v>30</v>
      </c>
      <c r="Q12" s="76"/>
      <c r="R12" s="1644"/>
      <c r="S12" s="1644"/>
      <c r="T12" s="545"/>
    </row>
    <row r="13" spans="1:20" ht="18.75" x14ac:dyDescent="0.25">
      <c r="A13" s="25" t="s">
        <v>86</v>
      </c>
      <c r="B13" s="240">
        <v>1982</v>
      </c>
      <c r="C13" s="580" t="s">
        <v>73</v>
      </c>
      <c r="D13" s="642" t="s">
        <v>12</v>
      </c>
      <c r="E13" s="847" t="s">
        <v>9</v>
      </c>
      <c r="F13" s="644"/>
      <c r="G13" s="152">
        <v>3</v>
      </c>
      <c r="H13" s="152">
        <v>7</v>
      </c>
      <c r="I13" s="152">
        <v>10</v>
      </c>
      <c r="J13" s="152">
        <v>7</v>
      </c>
      <c r="K13" s="152">
        <v>3</v>
      </c>
      <c r="L13" s="197"/>
      <c r="M13" s="647"/>
      <c r="N13" s="290"/>
      <c r="O13" s="198">
        <f t="shared" si="0"/>
        <v>267</v>
      </c>
      <c r="P13" s="222">
        <f t="shared" si="3"/>
        <v>30</v>
      </c>
      <c r="Q13" s="76"/>
      <c r="R13" s="1644"/>
      <c r="S13" s="1644"/>
      <c r="T13" s="545"/>
    </row>
    <row r="14" spans="1:20" ht="18.75" x14ac:dyDescent="0.25">
      <c r="A14" s="25" t="s">
        <v>86</v>
      </c>
      <c r="B14" s="240">
        <v>1057</v>
      </c>
      <c r="C14" s="580" t="s">
        <v>209</v>
      </c>
      <c r="D14" s="642" t="s">
        <v>8</v>
      </c>
      <c r="E14" s="847" t="s">
        <v>9</v>
      </c>
      <c r="F14" s="643"/>
      <c r="G14" s="152">
        <v>1</v>
      </c>
      <c r="H14" s="152">
        <v>4</v>
      </c>
      <c r="I14" s="152">
        <v>15</v>
      </c>
      <c r="J14" s="152">
        <v>8</v>
      </c>
      <c r="K14" s="152">
        <v>1</v>
      </c>
      <c r="L14" s="197"/>
      <c r="M14" s="647"/>
      <c r="N14" s="290">
        <v>1</v>
      </c>
      <c r="O14" s="198">
        <f t="shared" si="0"/>
        <v>256</v>
      </c>
      <c r="P14" s="222">
        <f t="shared" ref="P14" si="5">SUM(G14:N14)</f>
        <v>30</v>
      </c>
      <c r="Q14" s="76"/>
      <c r="R14" s="1644"/>
      <c r="S14" s="1644"/>
      <c r="T14" s="545"/>
    </row>
    <row r="15" spans="1:20" ht="18.75" x14ac:dyDescent="0.25">
      <c r="A15" s="25" t="s">
        <v>86</v>
      </c>
      <c r="B15" s="240">
        <v>1615</v>
      </c>
      <c r="C15" s="580" t="s">
        <v>185</v>
      </c>
      <c r="D15" s="642" t="s">
        <v>12</v>
      </c>
      <c r="E15" s="847" t="s">
        <v>9</v>
      </c>
      <c r="F15" s="644"/>
      <c r="G15" s="152">
        <v>1</v>
      </c>
      <c r="H15" s="152">
        <v>7</v>
      </c>
      <c r="I15" s="152">
        <v>12</v>
      </c>
      <c r="J15" s="152">
        <v>4</v>
      </c>
      <c r="K15" s="152">
        <v>3</v>
      </c>
      <c r="L15" s="197">
        <v>2</v>
      </c>
      <c r="M15" s="647"/>
      <c r="N15" s="290">
        <v>1</v>
      </c>
      <c r="O15" s="198">
        <f t="shared" si="0"/>
        <v>253</v>
      </c>
      <c r="P15" s="222">
        <f t="shared" ref="P15" si="6">SUM(G15:N15)</f>
        <v>30</v>
      </c>
      <c r="Q15" s="76"/>
      <c r="R15" s="1644"/>
      <c r="S15" s="1644"/>
      <c r="T15" s="545"/>
    </row>
    <row r="16" spans="1:20" ht="19.5" thickBot="1" x14ac:dyDescent="0.3">
      <c r="A16" s="25" t="s">
        <v>86</v>
      </c>
      <c r="B16" s="240">
        <v>1850</v>
      </c>
      <c r="C16" s="580" t="s">
        <v>243</v>
      </c>
      <c r="D16" s="642" t="s">
        <v>8</v>
      </c>
      <c r="E16" s="120" t="s">
        <v>9</v>
      </c>
      <c r="F16" s="643"/>
      <c r="G16" s="152">
        <v>1</v>
      </c>
      <c r="H16" s="152">
        <v>4</v>
      </c>
      <c r="I16" s="152">
        <v>15</v>
      </c>
      <c r="J16" s="152">
        <v>3</v>
      </c>
      <c r="K16" s="152">
        <v>1</v>
      </c>
      <c r="L16" s="197">
        <v>6</v>
      </c>
      <c r="M16" s="647"/>
      <c r="N16" s="290"/>
      <c r="O16" s="198">
        <f t="shared" si="0"/>
        <v>252</v>
      </c>
      <c r="P16" s="222">
        <f t="shared" ref="P16" si="7">SUM(G16:N16)</f>
        <v>30</v>
      </c>
      <c r="Q16" s="76"/>
      <c r="R16" s="1644"/>
      <c r="S16" s="1644"/>
      <c r="T16" s="545"/>
    </row>
    <row r="17" spans="1:20" ht="19.5" thickBot="1" x14ac:dyDescent="0.3">
      <c r="A17" s="3"/>
      <c r="B17" s="188">
        <f>COUNT(B8:B16)</f>
        <v>9</v>
      </c>
      <c r="C17" s="1645" t="s">
        <v>34</v>
      </c>
      <c r="D17" s="1646"/>
      <c r="E17" s="1647" t="s">
        <v>79</v>
      </c>
      <c r="F17" s="1648"/>
      <c r="G17" s="1648"/>
      <c r="H17" s="1648"/>
      <c r="I17" s="1648"/>
      <c r="J17" s="1648"/>
      <c r="K17" s="1648"/>
      <c r="L17" s="1648"/>
      <c r="M17" s="1648"/>
      <c r="N17" s="1648"/>
      <c r="O17" s="1648"/>
      <c r="P17" s="1649"/>
      <c r="Q17" s="76"/>
      <c r="R17" s="76"/>
      <c r="S17" s="76"/>
      <c r="T17" s="511"/>
    </row>
    <row r="18" spans="1:20" x14ac:dyDescent="0.25">
      <c r="Q18" s="1"/>
      <c r="R18" s="1"/>
      <c r="S18" s="1"/>
      <c r="T18" s="1"/>
    </row>
    <row r="19" spans="1:20" ht="15.75" thickBot="1" x14ac:dyDescent="0.3">
      <c r="Q19" s="1"/>
      <c r="R19" s="1"/>
      <c r="S19" s="1"/>
      <c r="T19" s="1"/>
    </row>
    <row r="20" spans="1:20" ht="27" thickBot="1" x14ac:dyDescent="0.3">
      <c r="A20" s="3"/>
      <c r="B20" s="4"/>
      <c r="C20" s="1601" t="s">
        <v>88</v>
      </c>
      <c r="D20" s="1602"/>
      <c r="E20" s="1602"/>
      <c r="F20" s="1602"/>
      <c r="G20" s="1602"/>
      <c r="H20" s="1602"/>
      <c r="I20" s="1602"/>
      <c r="J20" s="1602"/>
      <c r="K20" s="1602"/>
      <c r="L20" s="1603"/>
      <c r="M20" s="199"/>
      <c r="N20" s="199"/>
      <c r="O20" s="200"/>
      <c r="P20" s="10"/>
      <c r="Q20" s="76"/>
      <c r="R20" s="76"/>
      <c r="S20" s="1"/>
      <c r="T20" s="1"/>
    </row>
    <row r="21" spans="1:20" ht="32.25" thickBot="1" x14ac:dyDescent="0.3">
      <c r="A21" s="3"/>
      <c r="B21" s="135" t="s">
        <v>17</v>
      </c>
      <c r="C21" s="16" t="s">
        <v>18</v>
      </c>
      <c r="D21" s="190" t="s">
        <v>19</v>
      </c>
      <c r="E21" s="191" t="s">
        <v>20</v>
      </c>
      <c r="F21" s="192"/>
      <c r="G21" s="201" t="s">
        <v>21</v>
      </c>
      <c r="H21" s="202">
        <v>5</v>
      </c>
      <c r="I21" s="202">
        <v>4</v>
      </c>
      <c r="J21" s="202">
        <v>3</v>
      </c>
      <c r="K21" s="203">
        <v>2</v>
      </c>
      <c r="L21" s="204">
        <v>0</v>
      </c>
      <c r="M21" s="205" t="s">
        <v>22</v>
      </c>
      <c r="N21" s="206" t="s">
        <v>89</v>
      </c>
      <c r="O21" s="207" t="s">
        <v>24</v>
      </c>
      <c r="P21" s="208" t="s">
        <v>25</v>
      </c>
      <c r="Q21" s="76"/>
      <c r="R21" s="544"/>
      <c r="S21" s="1"/>
      <c r="T21" s="1"/>
    </row>
    <row r="22" spans="1:20" ht="15.75" x14ac:dyDescent="0.25">
      <c r="A22" s="25" t="s">
        <v>90</v>
      </c>
      <c r="B22" s="161">
        <v>2149</v>
      </c>
      <c r="C22" s="61" t="s">
        <v>281</v>
      </c>
      <c r="D22" s="145" t="s">
        <v>61</v>
      </c>
      <c r="E22" s="28" t="s">
        <v>9</v>
      </c>
      <c r="F22" s="145"/>
      <c r="G22" s="146">
        <v>6</v>
      </c>
      <c r="H22" s="146">
        <v>8</v>
      </c>
      <c r="I22" s="146">
        <v>9</v>
      </c>
      <c r="J22" s="146">
        <v>1</v>
      </c>
      <c r="K22" s="146"/>
      <c r="L22" s="209"/>
      <c r="M22" s="210">
        <f t="shared" ref="M22:M29" si="8">(G22*5)+(H22*5)+(I22*4)+(J22*3)+(K22*2)</f>
        <v>109</v>
      </c>
      <c r="N22" s="211">
        <f>SUM(G22:L22)</f>
        <v>24</v>
      </c>
      <c r="O22" s="1632"/>
      <c r="P22" s="1633"/>
      <c r="Q22" s="76"/>
      <c r="R22" s="545"/>
      <c r="S22" s="1"/>
      <c r="T22" s="1"/>
    </row>
    <row r="23" spans="1:20" ht="15.75" x14ac:dyDescent="0.25">
      <c r="A23" s="25" t="s">
        <v>90</v>
      </c>
      <c r="B23" s="151">
        <v>786</v>
      </c>
      <c r="C23" s="72" t="s">
        <v>215</v>
      </c>
      <c r="D23" s="71" t="s">
        <v>10</v>
      </c>
      <c r="E23" s="47" t="s">
        <v>9</v>
      </c>
      <c r="F23" s="127"/>
      <c r="G23" s="152">
        <v>3</v>
      </c>
      <c r="H23" s="152">
        <v>7</v>
      </c>
      <c r="I23" s="152">
        <v>13</v>
      </c>
      <c r="J23" s="152">
        <v>1</v>
      </c>
      <c r="K23" s="152"/>
      <c r="L23" s="212"/>
      <c r="M23" s="213">
        <f t="shared" si="8"/>
        <v>105</v>
      </c>
      <c r="N23" s="214">
        <f t="shared" ref="N23:N29" si="9">SUM(G23:L23)</f>
        <v>24</v>
      </c>
      <c r="O23" s="1634"/>
      <c r="P23" s="1635"/>
      <c r="Q23" s="76"/>
      <c r="R23" s="545"/>
      <c r="S23" s="1"/>
      <c r="T23" s="1"/>
    </row>
    <row r="24" spans="1:20" ht="15.75" x14ac:dyDescent="0.25">
      <c r="A24" s="25" t="s">
        <v>90</v>
      </c>
      <c r="B24" s="151">
        <v>1249</v>
      </c>
      <c r="C24" s="72" t="s">
        <v>216</v>
      </c>
      <c r="D24" s="71" t="s">
        <v>10</v>
      </c>
      <c r="E24" s="47" t="s">
        <v>9</v>
      </c>
      <c r="F24" s="127"/>
      <c r="G24" s="152">
        <v>8</v>
      </c>
      <c r="H24" s="152">
        <v>3</v>
      </c>
      <c r="I24" s="152">
        <v>9</v>
      </c>
      <c r="J24" s="152">
        <v>4</v>
      </c>
      <c r="K24" s="152"/>
      <c r="L24" s="212"/>
      <c r="M24" s="213">
        <f t="shared" si="8"/>
        <v>103</v>
      </c>
      <c r="N24" s="214">
        <f t="shared" ref="N24" si="10">SUM(G24:L24)</f>
        <v>24</v>
      </c>
      <c r="O24" s="1634"/>
      <c r="P24" s="1635"/>
      <c r="Q24" s="76"/>
      <c r="R24" s="545"/>
      <c r="S24" s="1"/>
      <c r="T24" s="1"/>
    </row>
    <row r="25" spans="1:20" ht="15.75" x14ac:dyDescent="0.25">
      <c r="A25" s="25" t="s">
        <v>90</v>
      </c>
      <c r="B25" s="151">
        <v>1786</v>
      </c>
      <c r="C25" s="72" t="s">
        <v>172</v>
      </c>
      <c r="D25" s="71" t="s">
        <v>12</v>
      </c>
      <c r="E25" s="47" t="s">
        <v>9</v>
      </c>
      <c r="F25" s="127"/>
      <c r="G25" s="152">
        <v>4</v>
      </c>
      <c r="H25" s="152">
        <v>8</v>
      </c>
      <c r="I25" s="152">
        <v>4</v>
      </c>
      <c r="J25" s="152">
        <v>3</v>
      </c>
      <c r="K25" s="152"/>
      <c r="L25" s="212">
        <v>5</v>
      </c>
      <c r="M25" s="213">
        <f t="shared" si="8"/>
        <v>85</v>
      </c>
      <c r="N25" s="214">
        <f t="shared" ref="N25" si="11">SUM(G25:L25)</f>
        <v>24</v>
      </c>
      <c r="O25" s="1634"/>
      <c r="P25" s="1635"/>
      <c r="Q25" s="76"/>
      <c r="R25" s="545"/>
      <c r="S25" s="1"/>
      <c r="T25" s="1"/>
    </row>
    <row r="26" spans="1:20" ht="15.75" x14ac:dyDescent="0.25">
      <c r="A26" s="25" t="s">
        <v>90</v>
      </c>
      <c r="B26" s="151">
        <v>1982</v>
      </c>
      <c r="C26" s="71" t="s">
        <v>73</v>
      </c>
      <c r="D26" s="127" t="s">
        <v>61</v>
      </c>
      <c r="E26" s="47" t="s">
        <v>9</v>
      </c>
      <c r="F26" s="127"/>
      <c r="G26" s="152">
        <v>5</v>
      </c>
      <c r="H26" s="152"/>
      <c r="I26" s="152">
        <v>7</v>
      </c>
      <c r="J26" s="152">
        <v>9</v>
      </c>
      <c r="K26" s="152">
        <v>1</v>
      </c>
      <c r="L26" s="212">
        <v>2</v>
      </c>
      <c r="M26" s="213">
        <f t="shared" si="8"/>
        <v>82</v>
      </c>
      <c r="N26" s="214">
        <f t="shared" ref="N26" si="12">SUM(G26:L26)</f>
        <v>24</v>
      </c>
      <c r="O26" s="1634"/>
      <c r="P26" s="1635"/>
      <c r="Q26" s="76"/>
      <c r="R26" s="545"/>
      <c r="S26" s="1"/>
      <c r="T26" s="1"/>
    </row>
    <row r="27" spans="1:20" ht="15.75" x14ac:dyDescent="0.25">
      <c r="A27" s="25" t="s">
        <v>90</v>
      </c>
      <c r="B27" s="151">
        <v>638</v>
      </c>
      <c r="C27" s="72" t="s">
        <v>199</v>
      </c>
      <c r="D27" s="71" t="s">
        <v>12</v>
      </c>
      <c r="E27" s="47" t="s">
        <v>9</v>
      </c>
      <c r="F27" s="127"/>
      <c r="G27" s="152">
        <v>1</v>
      </c>
      <c r="H27" s="152">
        <v>3</v>
      </c>
      <c r="I27" s="152">
        <v>7</v>
      </c>
      <c r="J27" s="152">
        <v>8</v>
      </c>
      <c r="K27" s="152">
        <v>4</v>
      </c>
      <c r="L27" s="212">
        <v>1</v>
      </c>
      <c r="M27" s="213">
        <f t="shared" si="8"/>
        <v>80</v>
      </c>
      <c r="N27" s="214">
        <f t="shared" si="9"/>
        <v>24</v>
      </c>
      <c r="O27" s="1634"/>
      <c r="P27" s="1635"/>
      <c r="Q27" s="76"/>
      <c r="R27" s="545"/>
      <c r="S27" s="1"/>
      <c r="T27" s="1"/>
    </row>
    <row r="28" spans="1:20" ht="15.75" x14ac:dyDescent="0.25">
      <c r="A28" s="25" t="s">
        <v>90</v>
      </c>
      <c r="B28" s="186">
        <v>1798</v>
      </c>
      <c r="C28" s="116" t="s">
        <v>70</v>
      </c>
      <c r="D28" s="116" t="s">
        <v>7</v>
      </c>
      <c r="E28" s="100" t="s">
        <v>9</v>
      </c>
      <c r="F28" s="187"/>
      <c r="G28" s="1067">
        <v>0</v>
      </c>
      <c r="H28" s="1067">
        <v>3</v>
      </c>
      <c r="I28" s="1067">
        <v>6</v>
      </c>
      <c r="J28" s="1067">
        <v>11</v>
      </c>
      <c r="K28" s="1067">
        <v>4</v>
      </c>
      <c r="L28" s="1153"/>
      <c r="M28" s="213">
        <f t="shared" si="8"/>
        <v>80</v>
      </c>
      <c r="N28" s="214">
        <f t="shared" ref="N28" si="13">SUM(G28:L28)</f>
        <v>24</v>
      </c>
      <c r="O28" s="1634"/>
      <c r="P28" s="1635"/>
      <c r="Q28" s="76"/>
      <c r="R28" s="545"/>
      <c r="S28" s="1"/>
      <c r="T28" s="1"/>
    </row>
    <row r="29" spans="1:20" ht="16.5" thickBot="1" x14ac:dyDescent="0.3">
      <c r="A29" s="25" t="s">
        <v>90</v>
      </c>
      <c r="B29" s="158">
        <v>1615</v>
      </c>
      <c r="C29" s="1479" t="s">
        <v>185</v>
      </c>
      <c r="D29" s="105" t="s">
        <v>12</v>
      </c>
      <c r="E29" s="56" t="s">
        <v>9</v>
      </c>
      <c r="F29" s="109"/>
      <c r="G29" s="159">
        <v>0</v>
      </c>
      <c r="H29" s="159">
        <v>0</v>
      </c>
      <c r="I29" s="159">
        <v>3</v>
      </c>
      <c r="J29" s="159">
        <v>8</v>
      </c>
      <c r="K29" s="159">
        <v>12</v>
      </c>
      <c r="L29" s="215">
        <v>1</v>
      </c>
      <c r="M29" s="216">
        <f t="shared" si="8"/>
        <v>60</v>
      </c>
      <c r="N29" s="217">
        <f t="shared" si="9"/>
        <v>24</v>
      </c>
      <c r="O29" s="1636"/>
      <c r="P29" s="1637"/>
      <c r="Q29" s="76"/>
      <c r="R29" s="545"/>
      <c r="S29" s="1"/>
      <c r="T29" s="1"/>
    </row>
    <row r="30" spans="1:20" ht="19.5" thickBot="1" x14ac:dyDescent="0.3">
      <c r="A30" s="5"/>
      <c r="B30" s="188">
        <f>COUNT(B22:B29)</f>
        <v>8</v>
      </c>
      <c r="C30" s="1593" t="s">
        <v>34</v>
      </c>
      <c r="D30" s="1594"/>
      <c r="E30" s="1638" t="s">
        <v>91</v>
      </c>
      <c r="F30" s="1639"/>
      <c r="G30" s="1639"/>
      <c r="H30" s="1639"/>
      <c r="I30" s="1639"/>
      <c r="J30" s="1639"/>
      <c r="K30" s="1639"/>
      <c r="L30" s="1639"/>
      <c r="M30" s="1639"/>
      <c r="N30" s="1639"/>
      <c r="O30" s="1639"/>
      <c r="P30" s="1640"/>
      <c r="Q30" s="511"/>
      <c r="R30" s="511"/>
      <c r="S30" s="1"/>
      <c r="T30" s="1"/>
    </row>
    <row r="31" spans="1:20" ht="15.75" x14ac:dyDescent="0.25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  <c r="L31" s="8"/>
      <c r="M31" s="9"/>
      <c r="N31" s="8"/>
      <c r="O31" s="4"/>
      <c r="P31" s="10"/>
      <c r="Q31" s="76"/>
      <c r="R31" s="76"/>
      <c r="S31" s="1"/>
      <c r="T31" s="1"/>
    </row>
  </sheetData>
  <sortState ref="B8:O16">
    <sortCondition descending="1" ref="O8"/>
  </sortState>
  <mergeCells count="10">
    <mergeCell ref="R8:S16"/>
    <mergeCell ref="C17:D17"/>
    <mergeCell ref="E17:P17"/>
    <mergeCell ref="A4:O4"/>
    <mergeCell ref="A2:S2"/>
    <mergeCell ref="C20:L20"/>
    <mergeCell ref="O22:P29"/>
    <mergeCell ref="C30:D30"/>
    <mergeCell ref="E30:P30"/>
    <mergeCell ref="C6:O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3"/>
  <sheetViews>
    <sheetView topLeftCell="A25" workbookViewId="0">
      <selection activeCell="Q30" sqref="Q30"/>
    </sheetView>
  </sheetViews>
  <sheetFormatPr defaultRowHeight="15" x14ac:dyDescent="0.25"/>
  <cols>
    <col min="1" max="1" width="6.7109375" customWidth="1"/>
    <col min="3" max="3" width="28.7109375" customWidth="1"/>
    <col min="6" max="6" width="0" hidden="1" customWidth="1"/>
    <col min="16" max="16" width="8.85546875" style="631"/>
    <col min="18" max="18" width="2.5703125" customWidth="1"/>
    <col min="19" max="19" width="0.28515625" customWidth="1"/>
  </cols>
  <sheetData>
    <row r="1" spans="1:19" ht="15.75" thickBot="1" x14ac:dyDescent="0.3"/>
    <row r="2" spans="1:19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</row>
    <row r="3" spans="1:19" ht="24" thickBot="1" x14ac:dyDescent="0.3">
      <c r="A3" s="11"/>
      <c r="B3" s="1590" t="s">
        <v>15</v>
      </c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1591"/>
      <c r="P3" s="1591"/>
      <c r="Q3" s="1591"/>
      <c r="R3" s="1592"/>
    </row>
    <row r="4" spans="1:19" ht="10.5" customHeight="1" thickBot="1" x14ac:dyDescent="0.3">
      <c r="A4" s="3"/>
      <c r="B4" s="4"/>
      <c r="C4" s="5"/>
      <c r="D4" s="5"/>
      <c r="E4" s="6"/>
      <c r="F4" s="5"/>
      <c r="G4" s="7"/>
      <c r="H4" s="7"/>
      <c r="I4" s="7"/>
      <c r="J4" s="7"/>
      <c r="K4" s="7"/>
      <c r="L4" s="8"/>
      <c r="M4" s="9"/>
      <c r="N4" s="8"/>
      <c r="O4" s="4"/>
      <c r="P4" s="650"/>
      <c r="Q4" s="3"/>
      <c r="R4" s="3"/>
    </row>
    <row r="5" spans="1:19" ht="21.75" customHeight="1" thickBot="1" x14ac:dyDescent="0.3">
      <c r="A5" s="3"/>
      <c r="B5" s="4"/>
      <c r="C5" s="1601" t="s">
        <v>92</v>
      </c>
      <c r="D5" s="1602"/>
      <c r="E5" s="1602"/>
      <c r="F5" s="1602"/>
      <c r="G5" s="1602"/>
      <c r="H5" s="1602"/>
      <c r="I5" s="1602"/>
      <c r="J5" s="1602"/>
      <c r="K5" s="1602"/>
      <c r="L5" s="1631"/>
      <c r="M5" s="199"/>
      <c r="N5" s="199"/>
      <c r="O5" s="200"/>
      <c r="P5" s="650"/>
      <c r="Q5" s="3"/>
      <c r="R5" s="3"/>
    </row>
    <row r="6" spans="1:19" ht="29.25" customHeight="1" thickBot="1" x14ac:dyDescent="0.3">
      <c r="A6" s="3"/>
      <c r="B6" s="1521" t="s">
        <v>17</v>
      </c>
      <c r="C6" s="321" t="s">
        <v>18</v>
      </c>
      <c r="D6" s="1522" t="s">
        <v>19</v>
      </c>
      <c r="E6" s="1523" t="s">
        <v>20</v>
      </c>
      <c r="F6" s="192"/>
      <c r="G6" s="218" t="s">
        <v>21</v>
      </c>
      <c r="H6" s="202">
        <v>5</v>
      </c>
      <c r="I6" s="202">
        <v>4</v>
      </c>
      <c r="J6" s="202">
        <v>3</v>
      </c>
      <c r="K6" s="203">
        <v>2</v>
      </c>
      <c r="L6" s="219">
        <v>0</v>
      </c>
      <c r="M6" s="1524" t="s">
        <v>22</v>
      </c>
      <c r="N6" s="220" t="s">
        <v>89</v>
      </c>
      <c r="O6" s="268" t="s">
        <v>24</v>
      </c>
      <c r="P6" s="649" t="s">
        <v>25</v>
      </c>
      <c r="Q6" s="1525" t="s">
        <v>26</v>
      </c>
      <c r="R6" s="3"/>
    </row>
    <row r="7" spans="1:19" ht="16.5" thickBot="1" x14ac:dyDescent="0.3">
      <c r="A7" s="25" t="s">
        <v>93</v>
      </c>
      <c r="B7" s="313">
        <v>1266</v>
      </c>
      <c r="C7" s="576" t="s">
        <v>223</v>
      </c>
      <c r="D7" s="470" t="s">
        <v>11</v>
      </c>
      <c r="E7" s="1213" t="s">
        <v>3</v>
      </c>
      <c r="F7" s="67"/>
      <c r="G7" s="1214">
        <v>5</v>
      </c>
      <c r="H7" s="1214">
        <v>3</v>
      </c>
      <c r="I7" s="1214">
        <v>11</v>
      </c>
      <c r="J7" s="1214">
        <v>5</v>
      </c>
      <c r="K7" s="1214"/>
      <c r="L7" s="1215"/>
      <c r="M7" s="1216">
        <f t="shared" ref="M7:M22" si="0">(G7*5)+(H7*5)+(I7*4)+(J7*3)+(K7*2)</f>
        <v>99</v>
      </c>
      <c r="N7" s="731">
        <f>SUM(G7:L7)</f>
        <v>24</v>
      </c>
      <c r="O7" s="1217" t="str">
        <f>IF(M7&gt;109,"Yes","NO")</f>
        <v>NO</v>
      </c>
      <c r="P7" s="1212" t="str">
        <f>IF(O7="yes","M","")</f>
        <v/>
      </c>
      <c r="Q7" s="732" t="str">
        <f>IF(M7=0," ",IF(N7&lt;&gt;24,"ERROR!"," "))</f>
        <v xml:space="preserve"> </v>
      </c>
      <c r="R7" s="3"/>
    </row>
    <row r="8" spans="1:19" ht="15.75" x14ac:dyDescent="0.25">
      <c r="A8" s="25" t="s">
        <v>93</v>
      </c>
      <c r="B8" s="161">
        <v>169</v>
      </c>
      <c r="C8" s="61" t="s">
        <v>170</v>
      </c>
      <c r="D8" s="145" t="s">
        <v>7</v>
      </c>
      <c r="E8" s="28" t="s">
        <v>4</v>
      </c>
      <c r="F8" s="29"/>
      <c r="G8" s="1086">
        <v>3</v>
      </c>
      <c r="H8" s="1086">
        <v>8</v>
      </c>
      <c r="I8" s="1086">
        <v>9</v>
      </c>
      <c r="J8" s="1086">
        <v>4</v>
      </c>
      <c r="K8" s="1086"/>
      <c r="L8" s="1519"/>
      <c r="M8" s="223">
        <f t="shared" ref="M8:M13" si="1">(G8*5)+(H8*5)+(I8*4)+(J8*3)+(K8*2)</f>
        <v>103</v>
      </c>
      <c r="N8" s="729">
        <f t="shared" ref="N8" si="2">SUM(G8:L8)</f>
        <v>24</v>
      </c>
      <c r="O8" s="236" t="str">
        <f>IF(M8&gt;109,"Yes","NO")</f>
        <v>NO</v>
      </c>
      <c r="P8" s="1075"/>
      <c r="Q8" s="618"/>
      <c r="R8" s="3"/>
    </row>
    <row r="9" spans="1:19" ht="15.75" x14ac:dyDescent="0.25">
      <c r="A9" s="25" t="s">
        <v>93</v>
      </c>
      <c r="B9" s="184">
        <v>1798</v>
      </c>
      <c r="C9" s="37" t="s">
        <v>60</v>
      </c>
      <c r="D9" s="178" t="s">
        <v>7</v>
      </c>
      <c r="E9" s="39" t="s">
        <v>4</v>
      </c>
      <c r="F9" s="40">
        <v>3</v>
      </c>
      <c r="G9" s="978">
        <v>0</v>
      </c>
      <c r="H9" s="978">
        <v>8</v>
      </c>
      <c r="I9" s="978">
        <v>12</v>
      </c>
      <c r="J9" s="978">
        <v>4</v>
      </c>
      <c r="K9" s="179"/>
      <c r="L9" s="1377"/>
      <c r="M9" s="223">
        <f t="shared" si="1"/>
        <v>100</v>
      </c>
      <c r="N9" s="729">
        <f t="shared" ref="N9" si="3">SUM(G9:L9)</f>
        <v>24</v>
      </c>
      <c r="O9" s="236" t="str">
        <f>IF(M9&gt;109,"Yes","NO")</f>
        <v>NO</v>
      </c>
      <c r="P9" s="730" t="str">
        <f>IF(O9="yes","M","")</f>
        <v/>
      </c>
      <c r="Q9" s="169" t="str">
        <f>IF(M9=0," ",IF(N9&lt;&gt;24,"ERROR!"," "))</f>
        <v xml:space="preserve"> </v>
      </c>
      <c r="R9" s="3"/>
    </row>
    <row r="10" spans="1:19" ht="15.75" x14ac:dyDescent="0.25">
      <c r="A10" s="25" t="s">
        <v>93</v>
      </c>
      <c r="B10" s="157">
        <v>1783</v>
      </c>
      <c r="C10" s="72" t="s">
        <v>181</v>
      </c>
      <c r="D10" s="127" t="s">
        <v>11</v>
      </c>
      <c r="E10" s="47" t="s">
        <v>4</v>
      </c>
      <c r="F10" s="48" t="e">
        <f>VLOOKUP(E10,$X$6:$Y$13,2,FALSE)</f>
        <v>#N/A</v>
      </c>
      <c r="G10" s="978">
        <v>6</v>
      </c>
      <c r="H10" s="978">
        <v>6</v>
      </c>
      <c r="I10" s="978">
        <v>5</v>
      </c>
      <c r="J10" s="978">
        <v>5</v>
      </c>
      <c r="K10" s="974">
        <v>2</v>
      </c>
      <c r="L10" s="1459"/>
      <c r="M10" s="213">
        <f t="shared" si="1"/>
        <v>99</v>
      </c>
      <c r="N10" s="222">
        <f>SUM(G10:L10)</f>
        <v>24</v>
      </c>
      <c r="O10" s="235" t="str">
        <f>IF(M10&gt;109,"Yes","NO")</f>
        <v>NO</v>
      </c>
      <c r="P10" s="651" t="str">
        <f>IF(O10="yes","M","")</f>
        <v/>
      </c>
      <c r="Q10" s="128"/>
      <c r="R10" s="3"/>
    </row>
    <row r="11" spans="1:19" ht="15.75" x14ac:dyDescent="0.25">
      <c r="A11" s="25" t="s">
        <v>93</v>
      </c>
      <c r="B11" s="151">
        <v>1786</v>
      </c>
      <c r="C11" s="71" t="s">
        <v>172</v>
      </c>
      <c r="D11" s="127" t="s">
        <v>12</v>
      </c>
      <c r="E11" s="73" t="s">
        <v>4</v>
      </c>
      <c r="F11" s="48">
        <v>4</v>
      </c>
      <c r="G11" s="891">
        <v>4</v>
      </c>
      <c r="H11" s="891">
        <v>4</v>
      </c>
      <c r="I11" s="891">
        <v>8</v>
      </c>
      <c r="J11" s="891">
        <v>6</v>
      </c>
      <c r="K11" s="888">
        <v>2</v>
      </c>
      <c r="L11" s="1227"/>
      <c r="M11" s="213">
        <f t="shared" si="1"/>
        <v>94</v>
      </c>
      <c r="N11" s="222">
        <f t="shared" ref="N11:N12" si="4">SUM(G11:L11)</f>
        <v>24</v>
      </c>
      <c r="O11" s="235" t="str">
        <f t="shared" ref="O11:O12" si="5">IF(M11&gt;109,"Yes","NO")</f>
        <v>NO</v>
      </c>
      <c r="P11" s="651" t="str">
        <f t="shared" ref="P11:P12" si="6">IF(O11="yes","M","")</f>
        <v/>
      </c>
      <c r="Q11" s="128"/>
      <c r="R11" s="3"/>
    </row>
    <row r="12" spans="1:19" ht="15.75" x14ac:dyDescent="0.25">
      <c r="A12" s="25" t="s">
        <v>93</v>
      </c>
      <c r="B12" s="151">
        <v>1475</v>
      </c>
      <c r="C12" s="71" t="s">
        <v>30</v>
      </c>
      <c r="D12" s="127" t="s">
        <v>10</v>
      </c>
      <c r="E12" s="73" t="s">
        <v>4</v>
      </c>
      <c r="F12" s="48" t="e">
        <f>VLOOKUP(E12,$X$6:$Y$13,2,FALSE)</f>
        <v>#N/A</v>
      </c>
      <c r="G12" s="890">
        <v>4</v>
      </c>
      <c r="H12" s="890">
        <v>4</v>
      </c>
      <c r="I12" s="890">
        <v>7</v>
      </c>
      <c r="J12" s="890">
        <v>7</v>
      </c>
      <c r="K12" s="888">
        <v>2</v>
      </c>
      <c r="L12" s="1227"/>
      <c r="M12" s="213">
        <f t="shared" si="1"/>
        <v>93</v>
      </c>
      <c r="N12" s="222">
        <f t="shared" si="4"/>
        <v>24</v>
      </c>
      <c r="O12" s="235" t="str">
        <f t="shared" si="5"/>
        <v>NO</v>
      </c>
      <c r="P12" s="651" t="str">
        <f t="shared" si="6"/>
        <v/>
      </c>
      <c r="Q12" s="128"/>
      <c r="R12" s="3"/>
    </row>
    <row r="13" spans="1:19" ht="16.5" thickBot="1" x14ac:dyDescent="0.3">
      <c r="A13" s="25" t="s">
        <v>93</v>
      </c>
      <c r="B13" s="182">
        <v>2144</v>
      </c>
      <c r="C13" s="86" t="s">
        <v>245</v>
      </c>
      <c r="D13" s="183" t="s">
        <v>2</v>
      </c>
      <c r="E13" s="981" t="s">
        <v>4</v>
      </c>
      <c r="F13" s="57"/>
      <c r="G13" s="980">
        <v>0</v>
      </c>
      <c r="H13" s="980">
        <v>2</v>
      </c>
      <c r="I13" s="980">
        <v>10</v>
      </c>
      <c r="J13" s="980">
        <v>9</v>
      </c>
      <c r="K13" s="982">
        <v>3</v>
      </c>
      <c r="L13" s="1520"/>
      <c r="M13" s="213">
        <f t="shared" si="1"/>
        <v>83</v>
      </c>
      <c r="N13" s="222">
        <f t="shared" ref="N13" si="7">SUM(G13:L13)</f>
        <v>24</v>
      </c>
      <c r="O13" s="235" t="str">
        <f t="shared" ref="O13" si="8">IF(M13&gt;109,"Yes","NO")</f>
        <v>NO</v>
      </c>
      <c r="P13" s="651"/>
      <c r="Q13" s="128"/>
      <c r="R13" s="3"/>
    </row>
    <row r="14" spans="1:19" ht="15.75" x14ac:dyDescent="0.25">
      <c r="A14" s="25" t="s">
        <v>93</v>
      </c>
      <c r="B14" s="184">
        <v>1041</v>
      </c>
      <c r="C14" s="37" t="s">
        <v>202</v>
      </c>
      <c r="D14" s="37" t="s">
        <v>11</v>
      </c>
      <c r="E14" s="39" t="s">
        <v>6</v>
      </c>
      <c r="F14" s="40" t="e">
        <f>VLOOKUP(E14,$X$6:$Y$13,2,FALSE)</f>
        <v>#N/A</v>
      </c>
      <c r="G14" s="1206">
        <v>3</v>
      </c>
      <c r="H14" s="1206">
        <v>3</v>
      </c>
      <c r="I14" s="1206">
        <v>9</v>
      </c>
      <c r="J14" s="1206">
        <v>8</v>
      </c>
      <c r="K14" s="1206">
        <v>1</v>
      </c>
      <c r="L14" s="1220"/>
      <c r="M14" s="210">
        <f t="shared" si="0"/>
        <v>92</v>
      </c>
      <c r="N14" s="1229">
        <f t="shared" ref="N14:N28" si="9">SUM(G14:L14)</f>
        <v>24</v>
      </c>
      <c r="O14" s="652" t="str">
        <f t="shared" ref="O14:O21" si="10">IF(M14&gt;102,"Yes","NO")</f>
        <v>NO</v>
      </c>
      <c r="P14" s="657" t="str">
        <f t="shared" ref="P14:P21" si="11">IF(O14="yes","G","")</f>
        <v/>
      </c>
      <c r="Q14" s="613" t="str">
        <f t="shared" ref="Q14:Q21" si="12">IF(M14=0," ",IF(N14&lt;&gt;24,"ERROR!"," "))</f>
        <v xml:space="preserve"> </v>
      </c>
      <c r="R14" s="3"/>
    </row>
    <row r="15" spans="1:19" ht="15.75" x14ac:dyDescent="0.25">
      <c r="A15" s="25" t="s">
        <v>93</v>
      </c>
      <c r="B15" s="151">
        <v>1784</v>
      </c>
      <c r="C15" s="71" t="s">
        <v>177</v>
      </c>
      <c r="D15" s="127" t="s">
        <v>11</v>
      </c>
      <c r="E15" s="47" t="s">
        <v>6</v>
      </c>
      <c r="F15" s="48"/>
      <c r="G15" s="879">
        <v>3</v>
      </c>
      <c r="H15" s="879">
        <v>3</v>
      </c>
      <c r="I15" s="879">
        <v>10</v>
      </c>
      <c r="J15" s="879">
        <v>5</v>
      </c>
      <c r="K15" s="879">
        <v>3</v>
      </c>
      <c r="L15" s="1218"/>
      <c r="M15" s="213">
        <f t="shared" si="0"/>
        <v>91</v>
      </c>
      <c r="N15" s="654">
        <f t="shared" si="9"/>
        <v>24</v>
      </c>
      <c r="O15" s="235" t="str">
        <f t="shared" si="10"/>
        <v>NO</v>
      </c>
      <c r="P15" s="656" t="str">
        <f t="shared" si="11"/>
        <v/>
      </c>
      <c r="Q15" s="112" t="str">
        <f t="shared" si="12"/>
        <v xml:space="preserve"> </v>
      </c>
      <c r="R15" s="3"/>
    </row>
    <row r="16" spans="1:19" ht="15.75" x14ac:dyDescent="0.25">
      <c r="A16" s="25" t="s">
        <v>93</v>
      </c>
      <c r="B16" s="151">
        <v>309</v>
      </c>
      <c r="C16" s="71" t="s">
        <v>235</v>
      </c>
      <c r="D16" s="127" t="s">
        <v>10</v>
      </c>
      <c r="E16" s="47" t="s">
        <v>6</v>
      </c>
      <c r="F16" s="48" t="e">
        <f>VLOOKUP(E16,$X$6:$Y$13,2,FALSE)</f>
        <v>#N/A</v>
      </c>
      <c r="G16" s="1202">
        <v>1</v>
      </c>
      <c r="H16" s="1202">
        <v>3</v>
      </c>
      <c r="I16" s="1202">
        <v>11</v>
      </c>
      <c r="J16" s="1202">
        <v>8</v>
      </c>
      <c r="K16" s="1202">
        <v>1</v>
      </c>
      <c r="L16" s="1219"/>
      <c r="M16" s="213">
        <f t="shared" si="0"/>
        <v>90</v>
      </c>
      <c r="N16" s="654">
        <f t="shared" ref="N16" si="13">SUM(G16:L16)</f>
        <v>24</v>
      </c>
      <c r="O16" s="235" t="str">
        <f t="shared" ref="O16" si="14">IF(M16&gt;102,"Yes","NO")</f>
        <v>NO</v>
      </c>
      <c r="P16" s="656"/>
      <c r="Q16" s="112"/>
      <c r="R16" s="3"/>
    </row>
    <row r="17" spans="1:18" ht="15.75" x14ac:dyDescent="0.25">
      <c r="A17" s="25" t="s">
        <v>93</v>
      </c>
      <c r="B17" s="151">
        <v>638</v>
      </c>
      <c r="C17" s="71" t="s">
        <v>199</v>
      </c>
      <c r="D17" s="127" t="s">
        <v>12</v>
      </c>
      <c r="E17" s="47" t="s">
        <v>6</v>
      </c>
      <c r="F17" s="48" t="e">
        <f>VLOOKUP(E17,$X$6:$Y$13,2,FALSE)</f>
        <v>#N/A</v>
      </c>
      <c r="G17" s="1202">
        <v>2</v>
      </c>
      <c r="H17" s="1202">
        <v>3</v>
      </c>
      <c r="I17" s="1202">
        <v>8</v>
      </c>
      <c r="J17" s="1202">
        <v>8</v>
      </c>
      <c r="K17" s="1202">
        <v>3</v>
      </c>
      <c r="L17" s="1219"/>
      <c r="M17" s="213">
        <f t="shared" si="0"/>
        <v>87</v>
      </c>
      <c r="N17" s="654">
        <f t="shared" ref="N17" si="15">SUM(G17:L17)</f>
        <v>24</v>
      </c>
      <c r="O17" s="235" t="str">
        <f t="shared" ref="O17" si="16">IF(M17&gt;102,"Yes","NO")</f>
        <v>NO</v>
      </c>
      <c r="P17" s="656"/>
      <c r="Q17" s="112"/>
      <c r="R17" s="3"/>
    </row>
    <row r="18" spans="1:18" ht="15.75" x14ac:dyDescent="0.25">
      <c r="A18" s="25" t="s">
        <v>93</v>
      </c>
      <c r="B18" s="151">
        <v>1477</v>
      </c>
      <c r="C18" s="71" t="s">
        <v>200</v>
      </c>
      <c r="D18" s="127" t="s">
        <v>12</v>
      </c>
      <c r="E18" s="47" t="s">
        <v>6</v>
      </c>
      <c r="F18" s="48" t="e">
        <f>VLOOKUP(E18,$X$6:$Y$13,2,FALSE)</f>
        <v>#N/A</v>
      </c>
      <c r="G18" s="1202">
        <v>1</v>
      </c>
      <c r="H18" s="1202">
        <v>3</v>
      </c>
      <c r="I18" s="1202">
        <v>8</v>
      </c>
      <c r="J18" s="1202">
        <v>11</v>
      </c>
      <c r="K18" s="1202">
        <v>1</v>
      </c>
      <c r="L18" s="1219"/>
      <c r="M18" s="213">
        <f t="shared" si="0"/>
        <v>87</v>
      </c>
      <c r="N18" s="654">
        <f t="shared" si="9"/>
        <v>24</v>
      </c>
      <c r="O18" s="235" t="str">
        <f t="shared" si="10"/>
        <v>NO</v>
      </c>
      <c r="P18" s="656" t="str">
        <f t="shared" si="11"/>
        <v/>
      </c>
      <c r="Q18" s="112" t="str">
        <f t="shared" si="12"/>
        <v xml:space="preserve"> </v>
      </c>
      <c r="R18" s="3"/>
    </row>
    <row r="19" spans="1:18" ht="15.75" x14ac:dyDescent="0.25">
      <c r="A19" s="25" t="s">
        <v>93</v>
      </c>
      <c r="B19" s="184">
        <v>921</v>
      </c>
      <c r="C19" s="37" t="s">
        <v>193</v>
      </c>
      <c r="D19" s="178" t="s">
        <v>10</v>
      </c>
      <c r="E19" s="39" t="s">
        <v>6</v>
      </c>
      <c r="F19" s="40"/>
      <c r="G19" s="883">
        <v>2</v>
      </c>
      <c r="H19" s="883">
        <v>1</v>
      </c>
      <c r="I19" s="883">
        <v>10</v>
      </c>
      <c r="J19" s="883">
        <v>9</v>
      </c>
      <c r="K19" s="883">
        <v>2</v>
      </c>
      <c r="L19" s="1220"/>
      <c r="M19" s="223">
        <f t="shared" si="0"/>
        <v>86</v>
      </c>
      <c r="N19" s="655">
        <f>SUM(G19:L19)</f>
        <v>24</v>
      </c>
      <c r="O19" s="236" t="str">
        <f>IF(M19&gt;102,"Yes","NO")</f>
        <v>NO</v>
      </c>
      <c r="P19" s="733" t="str">
        <f>IF(O19="yes","G","")</f>
        <v/>
      </c>
      <c r="Q19" s="555" t="str">
        <f>IF(M19=0," ",IF(N19&lt;&gt;24,"ERROR!"," "))</f>
        <v xml:space="preserve"> </v>
      </c>
      <c r="R19" s="3"/>
    </row>
    <row r="20" spans="1:18" ht="15.75" x14ac:dyDescent="0.25">
      <c r="A20" s="25" t="s">
        <v>93</v>
      </c>
      <c r="B20" s="151">
        <v>1901</v>
      </c>
      <c r="C20" s="71" t="s">
        <v>38</v>
      </c>
      <c r="D20" s="127" t="s">
        <v>11</v>
      </c>
      <c r="E20" s="47" t="s">
        <v>6</v>
      </c>
      <c r="F20" s="48" t="e">
        <f>VLOOKUP(E20,$X$6:$Y$13,2,FALSE)</f>
        <v>#N/A</v>
      </c>
      <c r="G20" s="1202">
        <v>1</v>
      </c>
      <c r="H20" s="1202">
        <v>4</v>
      </c>
      <c r="I20" s="1202">
        <v>5</v>
      </c>
      <c r="J20" s="1202">
        <v>10</v>
      </c>
      <c r="K20" s="1202">
        <v>4</v>
      </c>
      <c r="L20" s="1219"/>
      <c r="M20" s="213">
        <f t="shared" si="0"/>
        <v>83</v>
      </c>
      <c r="N20" s="654">
        <f t="shared" si="9"/>
        <v>24</v>
      </c>
      <c r="O20" s="235" t="str">
        <f t="shared" si="10"/>
        <v>NO</v>
      </c>
      <c r="P20" s="656" t="str">
        <f t="shared" si="11"/>
        <v/>
      </c>
      <c r="Q20" s="112" t="str">
        <f t="shared" si="12"/>
        <v xml:space="preserve"> </v>
      </c>
      <c r="R20" s="3"/>
    </row>
    <row r="21" spans="1:18" ht="16.5" thickBot="1" x14ac:dyDescent="0.3">
      <c r="A21" s="25" t="s">
        <v>93</v>
      </c>
      <c r="B21" s="151">
        <v>1982</v>
      </c>
      <c r="C21" s="71" t="s">
        <v>73</v>
      </c>
      <c r="D21" s="127" t="s">
        <v>61</v>
      </c>
      <c r="E21" s="47" t="s">
        <v>6</v>
      </c>
      <c r="F21" s="48" t="e">
        <f>VLOOKUP(E21,$X$6:$Y$13,2,FALSE)</f>
        <v>#N/A</v>
      </c>
      <c r="G21" s="1206">
        <v>1</v>
      </c>
      <c r="H21" s="1206">
        <v>1</v>
      </c>
      <c r="I21" s="1206">
        <v>8</v>
      </c>
      <c r="J21" s="1206">
        <v>11</v>
      </c>
      <c r="K21" s="1206">
        <v>3</v>
      </c>
      <c r="L21" s="1219"/>
      <c r="M21" s="216">
        <f t="shared" si="0"/>
        <v>81</v>
      </c>
      <c r="N21" s="892">
        <f t="shared" si="9"/>
        <v>24</v>
      </c>
      <c r="O21" s="653" t="str">
        <f t="shared" si="10"/>
        <v>NO</v>
      </c>
      <c r="P21" s="893" t="str">
        <f t="shared" si="11"/>
        <v/>
      </c>
      <c r="Q21" s="614" t="str">
        <f t="shared" si="12"/>
        <v xml:space="preserve"> </v>
      </c>
      <c r="R21" s="3"/>
    </row>
    <row r="22" spans="1:18" ht="15.75" x14ac:dyDescent="0.25">
      <c r="A22" s="25" t="s">
        <v>93</v>
      </c>
      <c r="B22" s="161">
        <v>1799</v>
      </c>
      <c r="C22" s="61" t="s">
        <v>180</v>
      </c>
      <c r="D22" s="61" t="s">
        <v>11</v>
      </c>
      <c r="E22" s="28" t="s">
        <v>5</v>
      </c>
      <c r="F22" s="29" t="e">
        <f>VLOOKUP(E22,$X$6:$Y$13,2,FALSE)</f>
        <v>#N/A</v>
      </c>
      <c r="G22" s="1086">
        <v>2</v>
      </c>
      <c r="H22" s="1086">
        <v>2</v>
      </c>
      <c r="I22" s="1086">
        <v>7</v>
      </c>
      <c r="J22" s="1086">
        <v>11</v>
      </c>
      <c r="K22" s="1086">
        <v>2</v>
      </c>
      <c r="L22" s="1221">
        <v>0</v>
      </c>
      <c r="M22" s="223">
        <f t="shared" si="0"/>
        <v>85</v>
      </c>
      <c r="N22" s="655">
        <f t="shared" si="9"/>
        <v>24</v>
      </c>
      <c r="O22" s="236" t="str">
        <f t="shared" ref="O22:O42" si="17">IF(M22&gt;84,"Yes","NO")</f>
        <v>Yes</v>
      </c>
      <c r="P22" s="733" t="str">
        <f t="shared" ref="P22:P42" si="18">IF(O22="yes","S","")</f>
        <v>S</v>
      </c>
      <c r="Q22" s="555" t="str">
        <f t="shared" ref="Q22:Q42" si="19">IF(M22=0," ",IF(N22&lt;&gt;24,"ERROR!"," "))</f>
        <v xml:space="preserve"> </v>
      </c>
      <c r="R22" s="3"/>
    </row>
    <row r="23" spans="1:18" ht="15.75" x14ac:dyDescent="0.25">
      <c r="A23" s="25" t="s">
        <v>93</v>
      </c>
      <c r="B23" s="151">
        <v>1956</v>
      </c>
      <c r="C23" s="71" t="s">
        <v>220</v>
      </c>
      <c r="D23" s="71" t="s">
        <v>10</v>
      </c>
      <c r="E23" s="47" t="s">
        <v>5</v>
      </c>
      <c r="F23" s="48" t="e">
        <f>VLOOKUP(E23,$X$6:$Y$13,2,FALSE)</f>
        <v>#N/A</v>
      </c>
      <c r="G23" s="888">
        <v>1</v>
      </c>
      <c r="H23" s="888">
        <v>5</v>
      </c>
      <c r="I23" s="888">
        <v>9</v>
      </c>
      <c r="J23" s="888">
        <v>6</v>
      </c>
      <c r="K23" s="888"/>
      <c r="L23" s="1222">
        <v>3</v>
      </c>
      <c r="M23" s="213">
        <f t="shared" ref="M23:M42" si="20">(G23*5)+(H23*5)+(I23*4)+(J23*3)+(K23*2)</f>
        <v>84</v>
      </c>
      <c r="N23" s="654">
        <f t="shared" ref="N23" si="21">SUM(G23:L23)</f>
        <v>24</v>
      </c>
      <c r="O23" s="236" t="str">
        <f t="shared" ref="O23" si="22">IF(M23&gt;84,"Yes","NO")</f>
        <v>NO</v>
      </c>
      <c r="P23" s="656"/>
      <c r="Q23" s="112"/>
      <c r="R23" s="3"/>
    </row>
    <row r="24" spans="1:18" ht="15.75" x14ac:dyDescent="0.25">
      <c r="A24" s="25" t="s">
        <v>93</v>
      </c>
      <c r="B24" s="151">
        <v>2040</v>
      </c>
      <c r="C24" s="71" t="s">
        <v>178</v>
      </c>
      <c r="D24" s="127" t="s">
        <v>11</v>
      </c>
      <c r="E24" s="47" t="s">
        <v>5</v>
      </c>
      <c r="F24" s="48" t="e">
        <f>VLOOKUP(E24,$X$6:$Y$13,2,FALSE)</f>
        <v>#N/A</v>
      </c>
      <c r="G24" s="888">
        <v>1</v>
      </c>
      <c r="H24" s="888">
        <v>3</v>
      </c>
      <c r="I24" s="888">
        <v>5</v>
      </c>
      <c r="J24" s="888">
        <v>11</v>
      </c>
      <c r="K24" s="888">
        <v>4</v>
      </c>
      <c r="L24" s="1222"/>
      <c r="M24" s="213">
        <f t="shared" si="20"/>
        <v>81</v>
      </c>
      <c r="N24" s="654">
        <f t="shared" si="9"/>
        <v>24</v>
      </c>
      <c r="O24" s="236" t="str">
        <f t="shared" si="17"/>
        <v>NO</v>
      </c>
      <c r="P24" s="656" t="str">
        <f t="shared" si="18"/>
        <v/>
      </c>
      <c r="Q24" s="112" t="str">
        <f t="shared" si="19"/>
        <v xml:space="preserve"> </v>
      </c>
      <c r="R24" s="3"/>
    </row>
    <row r="25" spans="1:18" ht="15.75" x14ac:dyDescent="0.25">
      <c r="A25" s="25" t="s">
        <v>93</v>
      </c>
      <c r="B25" s="151">
        <v>2035</v>
      </c>
      <c r="C25" s="71" t="s">
        <v>222</v>
      </c>
      <c r="D25" s="127" t="s">
        <v>11</v>
      </c>
      <c r="E25" s="47" t="s">
        <v>5</v>
      </c>
      <c r="F25" s="48"/>
      <c r="G25" s="886">
        <v>0</v>
      </c>
      <c r="H25" s="886">
        <v>2</v>
      </c>
      <c r="I25" s="886">
        <v>8</v>
      </c>
      <c r="J25" s="886">
        <v>10</v>
      </c>
      <c r="K25" s="886">
        <v>4</v>
      </c>
      <c r="L25" s="1225"/>
      <c r="M25" s="213">
        <f t="shared" si="20"/>
        <v>80</v>
      </c>
      <c r="N25" s="654">
        <f t="shared" si="9"/>
        <v>24</v>
      </c>
      <c r="O25" s="236" t="str">
        <f t="shared" si="17"/>
        <v>NO</v>
      </c>
      <c r="P25" s="656" t="str">
        <f t="shared" si="18"/>
        <v/>
      </c>
      <c r="Q25" s="112" t="str">
        <f t="shared" si="19"/>
        <v xml:space="preserve"> </v>
      </c>
      <c r="R25" s="3"/>
    </row>
    <row r="26" spans="1:18" ht="15.75" x14ac:dyDescent="0.25">
      <c r="A26" s="25" t="s">
        <v>93</v>
      </c>
      <c r="B26" s="151">
        <v>2499</v>
      </c>
      <c r="C26" s="71" t="s">
        <v>211</v>
      </c>
      <c r="D26" s="127" t="s">
        <v>12</v>
      </c>
      <c r="E26" s="47" t="s">
        <v>5</v>
      </c>
      <c r="F26" s="48"/>
      <c r="G26" s="886">
        <v>1</v>
      </c>
      <c r="H26" s="886">
        <v>1</v>
      </c>
      <c r="I26" s="886">
        <v>8</v>
      </c>
      <c r="J26" s="886">
        <v>7</v>
      </c>
      <c r="K26" s="886">
        <v>7</v>
      </c>
      <c r="L26" s="1225"/>
      <c r="M26" s="213">
        <f t="shared" si="20"/>
        <v>77</v>
      </c>
      <c r="N26" s="654">
        <f t="shared" si="9"/>
        <v>24</v>
      </c>
      <c r="O26" s="236" t="str">
        <f t="shared" si="17"/>
        <v>NO</v>
      </c>
      <c r="P26" s="656" t="str">
        <f t="shared" si="18"/>
        <v/>
      </c>
      <c r="Q26" s="112" t="str">
        <f t="shared" si="19"/>
        <v xml:space="preserve"> </v>
      </c>
      <c r="R26" s="3"/>
    </row>
    <row r="27" spans="1:18" ht="15.75" x14ac:dyDescent="0.25">
      <c r="A27" s="25" t="s">
        <v>93</v>
      </c>
      <c r="B27" s="151">
        <v>1249</v>
      </c>
      <c r="C27" s="71" t="s">
        <v>216</v>
      </c>
      <c r="D27" s="127" t="s">
        <v>10</v>
      </c>
      <c r="E27" s="47" t="s">
        <v>5</v>
      </c>
      <c r="F27" s="48"/>
      <c r="G27" s="891">
        <v>0</v>
      </c>
      <c r="H27" s="891">
        <v>2</v>
      </c>
      <c r="I27" s="891">
        <v>7</v>
      </c>
      <c r="J27" s="891">
        <v>9</v>
      </c>
      <c r="K27" s="891">
        <v>6</v>
      </c>
      <c r="L27" s="1224">
        <v>0</v>
      </c>
      <c r="M27" s="213">
        <f t="shared" si="20"/>
        <v>77</v>
      </c>
      <c r="N27" s="654">
        <f t="shared" ref="N27" si="23">SUM(G27:L27)</f>
        <v>24</v>
      </c>
      <c r="O27" s="236" t="str">
        <f t="shared" ref="O27" si="24">IF(M27&gt;84,"Yes","NO")</f>
        <v>NO</v>
      </c>
      <c r="P27" s="656"/>
      <c r="Q27" s="112"/>
      <c r="R27" s="3"/>
    </row>
    <row r="28" spans="1:18" ht="15.75" x14ac:dyDescent="0.25">
      <c r="A28" s="25" t="s">
        <v>93</v>
      </c>
      <c r="B28" s="151">
        <v>2582</v>
      </c>
      <c r="C28" s="71" t="s">
        <v>71</v>
      </c>
      <c r="D28" s="127" t="s">
        <v>10</v>
      </c>
      <c r="E28" s="47" t="s">
        <v>5</v>
      </c>
      <c r="F28" s="48">
        <v>1</v>
      </c>
      <c r="G28" s="886">
        <v>0</v>
      </c>
      <c r="H28" s="886">
        <v>2</v>
      </c>
      <c r="I28" s="886">
        <v>8</v>
      </c>
      <c r="J28" s="886">
        <v>9</v>
      </c>
      <c r="K28" s="886">
        <v>4</v>
      </c>
      <c r="L28" s="1223">
        <v>1</v>
      </c>
      <c r="M28" s="213">
        <f t="shared" si="20"/>
        <v>77</v>
      </c>
      <c r="N28" s="654">
        <f t="shared" si="9"/>
        <v>24</v>
      </c>
      <c r="O28" s="236" t="str">
        <f t="shared" si="17"/>
        <v>NO</v>
      </c>
      <c r="P28" s="656" t="str">
        <f t="shared" si="18"/>
        <v/>
      </c>
      <c r="Q28" s="112" t="str">
        <f t="shared" si="19"/>
        <v xml:space="preserve"> </v>
      </c>
      <c r="R28" s="3"/>
    </row>
    <row r="29" spans="1:18" ht="15.75" x14ac:dyDescent="0.25">
      <c r="A29" s="25" t="s">
        <v>93</v>
      </c>
      <c r="B29" s="151">
        <v>1615</v>
      </c>
      <c r="C29" s="71" t="s">
        <v>48</v>
      </c>
      <c r="D29" s="127" t="s">
        <v>12</v>
      </c>
      <c r="E29" s="47" t="s">
        <v>5</v>
      </c>
      <c r="F29" s="48" t="e">
        <f>VLOOKUP(E29,$X$6:$Y$13,2,FALSE)</f>
        <v>#N/A</v>
      </c>
      <c r="G29" s="1090">
        <v>1</v>
      </c>
      <c r="H29" s="1090">
        <v>1</v>
      </c>
      <c r="I29" s="1090">
        <v>2</v>
      </c>
      <c r="J29" s="1090">
        <v>12</v>
      </c>
      <c r="K29" s="1090">
        <v>8</v>
      </c>
      <c r="L29" s="1226"/>
      <c r="M29" s="213">
        <f t="shared" si="20"/>
        <v>70</v>
      </c>
      <c r="N29" s="654">
        <f t="shared" ref="N29" si="25">SUM(G29:L29)</f>
        <v>24</v>
      </c>
      <c r="O29" s="236" t="str">
        <f t="shared" ref="O29" si="26">IF(M29&gt;84,"Yes","NO")</f>
        <v>NO</v>
      </c>
      <c r="P29" s="656"/>
      <c r="Q29" s="112"/>
      <c r="R29" s="3"/>
    </row>
    <row r="30" spans="1:18" ht="15.75" x14ac:dyDescent="0.25">
      <c r="A30" s="25" t="s">
        <v>93</v>
      </c>
      <c r="B30" s="151">
        <v>1225</v>
      </c>
      <c r="C30" s="71" t="s">
        <v>183</v>
      </c>
      <c r="D30" s="127" t="s">
        <v>12</v>
      </c>
      <c r="E30" s="47" t="s">
        <v>5</v>
      </c>
      <c r="F30" s="48">
        <v>1</v>
      </c>
      <c r="G30" s="891">
        <v>0</v>
      </c>
      <c r="H30" s="891">
        <v>2</v>
      </c>
      <c r="I30" s="891">
        <v>4</v>
      </c>
      <c r="J30" s="891">
        <v>10</v>
      </c>
      <c r="K30" s="891">
        <v>7</v>
      </c>
      <c r="L30" s="1222">
        <v>1</v>
      </c>
      <c r="M30" s="213">
        <f t="shared" si="20"/>
        <v>70</v>
      </c>
      <c r="N30" s="654">
        <f t="shared" ref="N30:N42" si="27">SUM(G30:L30)</f>
        <v>24</v>
      </c>
      <c r="O30" s="236" t="str">
        <f t="shared" si="17"/>
        <v>NO</v>
      </c>
      <c r="P30" s="656" t="str">
        <f t="shared" si="18"/>
        <v/>
      </c>
      <c r="Q30" s="112" t="str">
        <f t="shared" si="19"/>
        <v xml:space="preserve"> </v>
      </c>
      <c r="R30" s="3"/>
    </row>
    <row r="31" spans="1:18" ht="15.75" x14ac:dyDescent="0.25">
      <c r="A31" s="25" t="s">
        <v>93</v>
      </c>
      <c r="B31" s="151">
        <v>1726</v>
      </c>
      <c r="C31" s="71" t="s">
        <v>83</v>
      </c>
      <c r="D31" s="127" t="s">
        <v>12</v>
      </c>
      <c r="E31" s="47" t="s">
        <v>5</v>
      </c>
      <c r="F31" s="48">
        <v>1</v>
      </c>
      <c r="G31" s="974">
        <v>2</v>
      </c>
      <c r="H31" s="974">
        <v>0</v>
      </c>
      <c r="I31" s="974">
        <v>4</v>
      </c>
      <c r="J31" s="974">
        <v>8</v>
      </c>
      <c r="K31" s="974">
        <v>10</v>
      </c>
      <c r="L31" s="1227"/>
      <c r="M31" s="213">
        <f t="shared" si="20"/>
        <v>70</v>
      </c>
      <c r="N31" s="654">
        <f t="shared" si="27"/>
        <v>24</v>
      </c>
      <c r="O31" s="236" t="str">
        <f t="shared" si="17"/>
        <v>NO</v>
      </c>
      <c r="P31" s="656" t="str">
        <f t="shared" si="18"/>
        <v/>
      </c>
      <c r="Q31" s="112" t="str">
        <f t="shared" si="19"/>
        <v xml:space="preserve"> </v>
      </c>
      <c r="R31" s="3"/>
    </row>
    <row r="32" spans="1:18" ht="15.75" x14ac:dyDescent="0.25">
      <c r="A32" s="25" t="s">
        <v>93</v>
      </c>
      <c r="B32" s="151">
        <v>2578</v>
      </c>
      <c r="C32" s="71" t="s">
        <v>46</v>
      </c>
      <c r="D32" s="127" t="s">
        <v>10</v>
      </c>
      <c r="E32" s="47" t="s">
        <v>5</v>
      </c>
      <c r="F32" s="48" t="e">
        <f>VLOOKUP(E32,$X$6:$Y$13,2,FALSE)</f>
        <v>#N/A</v>
      </c>
      <c r="G32" s="890">
        <v>0</v>
      </c>
      <c r="H32" s="890">
        <v>1</v>
      </c>
      <c r="I32" s="890">
        <v>6</v>
      </c>
      <c r="J32" s="890">
        <v>6</v>
      </c>
      <c r="K32" s="890">
        <v>11</v>
      </c>
      <c r="L32" s="1223"/>
      <c r="M32" s="213">
        <f t="shared" si="20"/>
        <v>69</v>
      </c>
      <c r="N32" s="654">
        <f t="shared" si="27"/>
        <v>24</v>
      </c>
      <c r="O32" s="236" t="str">
        <f t="shared" si="17"/>
        <v>NO</v>
      </c>
      <c r="P32" s="656" t="str">
        <f t="shared" si="18"/>
        <v/>
      </c>
      <c r="Q32" s="112" t="str">
        <f t="shared" si="19"/>
        <v xml:space="preserve"> </v>
      </c>
      <c r="R32" s="3"/>
    </row>
    <row r="33" spans="1:18" ht="15.75" x14ac:dyDescent="0.25">
      <c r="A33" s="25" t="s">
        <v>93</v>
      </c>
      <c r="B33" s="157">
        <v>2009</v>
      </c>
      <c r="C33" s="72" t="s">
        <v>234</v>
      </c>
      <c r="D33" s="127" t="s">
        <v>10</v>
      </c>
      <c r="E33" s="47" t="s">
        <v>5</v>
      </c>
      <c r="F33" s="48"/>
      <c r="G33" s="886">
        <v>0</v>
      </c>
      <c r="H33" s="886">
        <v>2</v>
      </c>
      <c r="I33" s="886">
        <v>2</v>
      </c>
      <c r="J33" s="886">
        <v>10</v>
      </c>
      <c r="K33" s="886">
        <v>10</v>
      </c>
      <c r="L33" s="1224"/>
      <c r="M33" s="213">
        <f t="shared" si="20"/>
        <v>68</v>
      </c>
      <c r="N33" s="654">
        <f t="shared" ref="N33" si="28">SUM(G33:L33)</f>
        <v>24</v>
      </c>
      <c r="O33" s="236" t="str">
        <f t="shared" ref="O33" si="29">IF(M33&gt;84,"Yes","NO")</f>
        <v>NO</v>
      </c>
      <c r="P33" s="656"/>
      <c r="Q33" s="112"/>
      <c r="R33" s="3"/>
    </row>
    <row r="34" spans="1:18" ht="15.75" x14ac:dyDescent="0.25">
      <c r="A34" s="25" t="s">
        <v>93</v>
      </c>
      <c r="B34" s="151">
        <v>1767</v>
      </c>
      <c r="C34" s="71" t="s">
        <v>224</v>
      </c>
      <c r="D34" s="127" t="s">
        <v>11</v>
      </c>
      <c r="E34" s="47" t="s">
        <v>5</v>
      </c>
      <c r="F34" s="48"/>
      <c r="G34" s="886">
        <v>0</v>
      </c>
      <c r="H34" s="886">
        <v>2</v>
      </c>
      <c r="I34" s="886">
        <v>5</v>
      </c>
      <c r="J34" s="886">
        <v>7</v>
      </c>
      <c r="K34" s="886">
        <v>8</v>
      </c>
      <c r="L34" s="1225">
        <v>2</v>
      </c>
      <c r="M34" s="213">
        <f t="shared" si="20"/>
        <v>67</v>
      </c>
      <c r="N34" s="654">
        <f t="shared" si="27"/>
        <v>24</v>
      </c>
      <c r="O34" s="236" t="str">
        <f t="shared" si="17"/>
        <v>NO</v>
      </c>
      <c r="P34" s="656" t="str">
        <f t="shared" si="18"/>
        <v/>
      </c>
      <c r="Q34" s="112" t="str">
        <f t="shared" si="19"/>
        <v xml:space="preserve"> </v>
      </c>
      <c r="R34" s="3"/>
    </row>
    <row r="35" spans="1:18" ht="15.75" x14ac:dyDescent="0.25">
      <c r="A35" s="25" t="s">
        <v>93</v>
      </c>
      <c r="B35" s="184">
        <v>1624</v>
      </c>
      <c r="C35" s="37" t="s">
        <v>191</v>
      </c>
      <c r="D35" s="178" t="s">
        <v>12</v>
      </c>
      <c r="E35" s="39" t="s">
        <v>5</v>
      </c>
      <c r="F35" s="40" t="e">
        <f>VLOOKUP(E35,$X$6:$Y$13,2,FALSE)</f>
        <v>#N/A</v>
      </c>
      <c r="G35" s="891">
        <v>1</v>
      </c>
      <c r="H35" s="891">
        <v>1</v>
      </c>
      <c r="I35" s="891">
        <v>5</v>
      </c>
      <c r="J35" s="891">
        <v>10</v>
      </c>
      <c r="K35" s="891">
        <v>3</v>
      </c>
      <c r="L35" s="1224">
        <v>4</v>
      </c>
      <c r="M35" s="213">
        <f t="shared" si="20"/>
        <v>66</v>
      </c>
      <c r="N35" s="654">
        <f t="shared" ref="N35" si="30">SUM(G35:L35)</f>
        <v>24</v>
      </c>
      <c r="O35" s="236" t="str">
        <f t="shared" ref="O35" si="31">IF(M35&gt;84,"Yes","NO")</f>
        <v>NO</v>
      </c>
      <c r="P35" s="733"/>
      <c r="Q35" s="555"/>
      <c r="R35" s="3"/>
    </row>
    <row r="36" spans="1:18" ht="15.75" x14ac:dyDescent="0.25">
      <c r="A36" s="25" t="s">
        <v>93</v>
      </c>
      <c r="B36" s="184">
        <v>1170</v>
      </c>
      <c r="C36" s="37" t="s">
        <v>225</v>
      </c>
      <c r="D36" s="178" t="s">
        <v>11</v>
      </c>
      <c r="E36" s="39" t="s">
        <v>5</v>
      </c>
      <c r="F36" s="40"/>
      <c r="G36" s="886">
        <v>1</v>
      </c>
      <c r="H36" s="886">
        <v>1</v>
      </c>
      <c r="I36" s="886">
        <v>2</v>
      </c>
      <c r="J36" s="886">
        <v>9</v>
      </c>
      <c r="K36" s="886">
        <v>8</v>
      </c>
      <c r="L36" s="1225">
        <v>3</v>
      </c>
      <c r="M36" s="223">
        <f t="shared" si="20"/>
        <v>61</v>
      </c>
      <c r="N36" s="655">
        <f>SUM(G36:L36)</f>
        <v>24</v>
      </c>
      <c r="O36" s="236" t="str">
        <f>IF(M36&gt;84,"Yes","NO")</f>
        <v>NO</v>
      </c>
      <c r="P36" s="733" t="str">
        <f>IF(O36="yes","S","")</f>
        <v/>
      </c>
      <c r="Q36" s="555" t="str">
        <f>IF(M36=0," ",IF(N36&lt;&gt;24,"ERROR!"," "))</f>
        <v xml:space="preserve"> </v>
      </c>
      <c r="R36" s="3"/>
    </row>
    <row r="37" spans="1:18" ht="15.75" x14ac:dyDescent="0.25">
      <c r="A37" s="25" t="s">
        <v>93</v>
      </c>
      <c r="B37" s="176">
        <v>1850</v>
      </c>
      <c r="C37" s="177" t="s">
        <v>243</v>
      </c>
      <c r="D37" s="178" t="s">
        <v>12</v>
      </c>
      <c r="E37" s="39" t="s">
        <v>5</v>
      </c>
      <c r="F37" s="40"/>
      <c r="G37" s="978">
        <v>0</v>
      </c>
      <c r="H37" s="978">
        <v>0</v>
      </c>
      <c r="I37" s="978">
        <v>2</v>
      </c>
      <c r="J37" s="978">
        <v>6</v>
      </c>
      <c r="K37" s="978">
        <v>16</v>
      </c>
      <c r="L37" s="1377"/>
      <c r="M37" s="223">
        <f t="shared" si="20"/>
        <v>58</v>
      </c>
      <c r="N37" s="655">
        <f>SUM(G37:L37)</f>
        <v>24</v>
      </c>
      <c r="O37" s="236" t="str">
        <f>IF(M37&gt;84,"Yes","NO")</f>
        <v>NO</v>
      </c>
      <c r="P37" s="733" t="str">
        <f>IF(O37="yes","S","")</f>
        <v/>
      </c>
      <c r="Q37" s="555"/>
      <c r="R37" s="3"/>
    </row>
    <row r="38" spans="1:18" ht="15.75" x14ac:dyDescent="0.25">
      <c r="A38" s="25" t="s">
        <v>93</v>
      </c>
      <c r="B38" s="176">
        <v>2233</v>
      </c>
      <c r="C38" s="177" t="s">
        <v>203</v>
      </c>
      <c r="D38" s="178" t="s">
        <v>12</v>
      </c>
      <c r="E38" s="39" t="s">
        <v>5</v>
      </c>
      <c r="F38" s="40">
        <v>0</v>
      </c>
      <c r="G38" s="978">
        <v>1</v>
      </c>
      <c r="H38" s="978"/>
      <c r="I38" s="978">
        <v>3</v>
      </c>
      <c r="J38" s="978">
        <v>2</v>
      </c>
      <c r="K38" s="978">
        <v>16</v>
      </c>
      <c r="L38" s="1377">
        <v>2</v>
      </c>
      <c r="M38" s="223">
        <f t="shared" si="20"/>
        <v>55</v>
      </c>
      <c r="N38" s="655">
        <f t="shared" ref="N38:N40" si="32">SUM(G38:L38)</f>
        <v>24</v>
      </c>
      <c r="O38" s="236" t="str">
        <f t="shared" ref="O38:O40" si="33">IF(M38&gt;84,"Yes","NO")</f>
        <v>NO</v>
      </c>
      <c r="P38" s="733"/>
      <c r="Q38" s="555"/>
      <c r="R38" s="3"/>
    </row>
    <row r="39" spans="1:18" ht="15.75" x14ac:dyDescent="0.25">
      <c r="A39" s="25" t="s">
        <v>93</v>
      </c>
      <c r="B39" s="184">
        <v>2500</v>
      </c>
      <c r="C39" s="37" t="s">
        <v>242</v>
      </c>
      <c r="D39" s="178" t="s">
        <v>12</v>
      </c>
      <c r="E39" s="47" t="s">
        <v>5</v>
      </c>
      <c r="F39" s="48" t="e">
        <f>VLOOKUP(E39,$X$6:$Y$13,2,FALSE)</f>
        <v>#N/A</v>
      </c>
      <c r="G39" s="974">
        <v>0</v>
      </c>
      <c r="H39" s="974">
        <v>2</v>
      </c>
      <c r="I39" s="974">
        <v>3</v>
      </c>
      <c r="J39" s="974">
        <v>4</v>
      </c>
      <c r="K39" s="974">
        <v>10</v>
      </c>
      <c r="L39" s="1459">
        <v>5</v>
      </c>
      <c r="M39" s="213">
        <f t="shared" si="20"/>
        <v>54</v>
      </c>
      <c r="N39" s="654">
        <f t="shared" si="32"/>
        <v>24</v>
      </c>
      <c r="O39" s="236" t="str">
        <f t="shared" si="33"/>
        <v>NO</v>
      </c>
      <c r="P39" s="733"/>
      <c r="Q39" s="555"/>
      <c r="R39" s="3"/>
    </row>
    <row r="40" spans="1:18" ht="15.75" x14ac:dyDescent="0.25">
      <c r="A40" s="25" t="s">
        <v>93</v>
      </c>
      <c r="B40" s="176">
        <v>2518</v>
      </c>
      <c r="C40" s="177" t="s">
        <v>266</v>
      </c>
      <c r="D40" s="178" t="s">
        <v>12</v>
      </c>
      <c r="E40" s="47" t="s">
        <v>5</v>
      </c>
      <c r="F40" s="48">
        <v>0</v>
      </c>
      <c r="G40" s="974"/>
      <c r="H40" s="974"/>
      <c r="I40" s="974">
        <v>4</v>
      </c>
      <c r="J40" s="974">
        <v>4</v>
      </c>
      <c r="K40" s="974">
        <v>13</v>
      </c>
      <c r="L40" s="1227">
        <v>3</v>
      </c>
      <c r="M40" s="213">
        <f t="shared" si="20"/>
        <v>54</v>
      </c>
      <c r="N40" s="654">
        <f t="shared" si="32"/>
        <v>24</v>
      </c>
      <c r="O40" s="236" t="str">
        <f t="shared" si="33"/>
        <v>NO</v>
      </c>
      <c r="P40" s="733"/>
      <c r="Q40" s="555"/>
      <c r="R40" s="3"/>
    </row>
    <row r="41" spans="1:18" ht="15.75" x14ac:dyDescent="0.25">
      <c r="A41" s="25" t="s">
        <v>93</v>
      </c>
      <c r="B41" s="176">
        <v>2239</v>
      </c>
      <c r="C41" s="177" t="s">
        <v>190</v>
      </c>
      <c r="D41" s="178" t="s">
        <v>12</v>
      </c>
      <c r="E41" s="47" t="s">
        <v>5</v>
      </c>
      <c r="F41" s="48" t="e">
        <f>VLOOKUP(E41,$X$6:$Y$13,2,FALSE)</f>
        <v>#N/A</v>
      </c>
      <c r="G41" s="890">
        <v>0</v>
      </c>
      <c r="H41" s="890">
        <v>0</v>
      </c>
      <c r="I41" s="890">
        <v>0</v>
      </c>
      <c r="J41" s="890">
        <v>7</v>
      </c>
      <c r="K41" s="890">
        <v>14</v>
      </c>
      <c r="L41" s="1222">
        <v>3</v>
      </c>
      <c r="M41" s="213">
        <f t="shared" si="20"/>
        <v>49</v>
      </c>
      <c r="N41" s="654">
        <f t="shared" ref="N41" si="34">SUM(G41:L41)</f>
        <v>24</v>
      </c>
      <c r="O41" s="236" t="str">
        <f t="shared" ref="O41" si="35">IF(M41&gt;84,"Yes","NO")</f>
        <v>NO</v>
      </c>
      <c r="P41" s="733"/>
      <c r="Q41" s="555"/>
      <c r="R41" s="3"/>
    </row>
    <row r="42" spans="1:18" ht="15.75" x14ac:dyDescent="0.25">
      <c r="A42" s="25" t="s">
        <v>93</v>
      </c>
      <c r="B42" s="157">
        <v>2502</v>
      </c>
      <c r="C42" s="72" t="s">
        <v>213</v>
      </c>
      <c r="D42" s="127" t="s">
        <v>12</v>
      </c>
      <c r="E42" s="47" t="s">
        <v>5</v>
      </c>
      <c r="F42" s="48" t="e">
        <f>VLOOKUP(E42,$X$6:$Y$13,2,FALSE)</f>
        <v>#N/A</v>
      </c>
      <c r="G42" s="888">
        <v>0</v>
      </c>
      <c r="H42" s="888">
        <v>0</v>
      </c>
      <c r="I42" s="888">
        <v>2</v>
      </c>
      <c r="J42" s="888">
        <v>7</v>
      </c>
      <c r="K42" s="888">
        <v>10</v>
      </c>
      <c r="L42" s="1222">
        <v>5</v>
      </c>
      <c r="M42" s="213">
        <f t="shared" si="20"/>
        <v>49</v>
      </c>
      <c r="N42" s="654">
        <f t="shared" si="27"/>
        <v>24</v>
      </c>
      <c r="O42" s="236" t="str">
        <f t="shared" si="17"/>
        <v>NO</v>
      </c>
      <c r="P42" s="656" t="str">
        <f t="shared" si="18"/>
        <v/>
      </c>
      <c r="Q42" s="112" t="str">
        <f t="shared" si="19"/>
        <v xml:space="preserve"> </v>
      </c>
      <c r="R42" s="3"/>
    </row>
    <row r="43" spans="1:18" ht="19.5" thickBot="1" x14ac:dyDescent="0.3">
      <c r="A43" s="3"/>
      <c r="B43" s="188">
        <f>COUNT(B7:B42)</f>
        <v>36</v>
      </c>
      <c r="C43" s="1650" t="s">
        <v>78</v>
      </c>
      <c r="D43" s="1651"/>
      <c r="E43" s="1652" t="s">
        <v>91</v>
      </c>
      <c r="F43" s="1653"/>
      <c r="G43" s="1653"/>
      <c r="H43" s="1653"/>
      <c r="I43" s="1653"/>
      <c r="J43" s="1653"/>
      <c r="K43" s="1653"/>
      <c r="L43" s="1653"/>
      <c r="M43" s="1653"/>
      <c r="N43" s="1653"/>
      <c r="O43" s="1653"/>
      <c r="P43" s="1654"/>
      <c r="Q43" s="3"/>
      <c r="R43" s="3"/>
    </row>
  </sheetData>
  <sortState ref="B24:M43">
    <sortCondition descending="1" ref="M23"/>
  </sortState>
  <mergeCells count="5">
    <mergeCell ref="B3:R3"/>
    <mergeCell ref="C5:L5"/>
    <mergeCell ref="C43:D43"/>
    <mergeCell ref="E43:P43"/>
    <mergeCell ref="A2:S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1"/>
  <sheetViews>
    <sheetView topLeftCell="A19" workbookViewId="0">
      <selection activeCell="B37" sqref="B37"/>
    </sheetView>
  </sheetViews>
  <sheetFormatPr defaultRowHeight="15" x14ac:dyDescent="0.25"/>
  <cols>
    <col min="1" max="1" width="6.42578125" customWidth="1"/>
    <col min="3" max="3" width="27.5703125" customWidth="1"/>
    <col min="6" max="6" width="0" hidden="1" customWidth="1"/>
    <col min="16" max="16" width="8.85546875" style="660"/>
  </cols>
  <sheetData>
    <row r="1" spans="1:19" ht="15.75" thickBot="1" x14ac:dyDescent="0.3"/>
    <row r="2" spans="1:19" ht="24" thickBot="1" x14ac:dyDescent="0.3">
      <c r="A2" s="1587" t="s">
        <v>206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9"/>
    </row>
    <row r="3" spans="1:19" ht="16.5" thickBot="1" x14ac:dyDescent="0.3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4"/>
      <c r="P3" s="661"/>
      <c r="Q3" s="3"/>
      <c r="R3" s="3"/>
    </row>
    <row r="4" spans="1:19" ht="24" thickBot="1" x14ac:dyDescent="0.3">
      <c r="A4" s="11"/>
      <c r="B4" s="1590" t="s">
        <v>15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1"/>
      <c r="R4" s="1592"/>
    </row>
    <row r="5" spans="1:19" ht="16.5" thickBot="1" x14ac:dyDescent="0.3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4"/>
      <c r="P5" s="661"/>
      <c r="Q5" s="3"/>
      <c r="R5" s="3"/>
    </row>
    <row r="6" spans="1:19" ht="27" thickBot="1" x14ac:dyDescent="0.3">
      <c r="A6" s="3"/>
      <c r="B6" s="4"/>
      <c r="C6" s="1601" t="s">
        <v>94</v>
      </c>
      <c r="D6" s="1602"/>
      <c r="E6" s="1602"/>
      <c r="F6" s="1602"/>
      <c r="G6" s="1602"/>
      <c r="H6" s="1602"/>
      <c r="I6" s="1602"/>
      <c r="J6" s="1602"/>
      <c r="K6" s="1602"/>
      <c r="L6" s="1603"/>
      <c r="M6" s="9"/>
      <c r="N6" s="8"/>
      <c r="O6" s="4"/>
      <c r="P6" s="661"/>
      <c r="Q6" s="3"/>
      <c r="R6" s="3"/>
    </row>
    <row r="7" spans="1:19" ht="32.25" thickBot="1" x14ac:dyDescent="0.3">
      <c r="A7" s="3"/>
      <c r="B7" s="135" t="s">
        <v>17</v>
      </c>
      <c r="C7" s="16" t="s">
        <v>18</v>
      </c>
      <c r="D7" s="190" t="s">
        <v>19</v>
      </c>
      <c r="E7" s="191" t="s">
        <v>20</v>
      </c>
      <c r="F7" s="192"/>
      <c r="G7" s="201" t="s">
        <v>21</v>
      </c>
      <c r="H7" s="202">
        <v>5</v>
      </c>
      <c r="I7" s="202">
        <v>4</v>
      </c>
      <c r="J7" s="202">
        <v>3</v>
      </c>
      <c r="K7" s="203">
        <v>2</v>
      </c>
      <c r="L7" s="204">
        <v>0</v>
      </c>
      <c r="M7" s="227" t="s">
        <v>22</v>
      </c>
      <c r="N7" s="220" t="s">
        <v>89</v>
      </c>
      <c r="O7" s="840" t="s">
        <v>24</v>
      </c>
      <c r="P7" s="841" t="s">
        <v>25</v>
      </c>
      <c r="Q7" s="24" t="s">
        <v>26</v>
      </c>
      <c r="R7" s="3"/>
    </row>
    <row r="8" spans="1:19" ht="16.5" thickBot="1" x14ac:dyDescent="0.3">
      <c r="A8" s="25" t="s">
        <v>95</v>
      </c>
      <c r="B8" s="161">
        <v>2149</v>
      </c>
      <c r="C8" s="61" t="s">
        <v>273</v>
      </c>
      <c r="D8" s="145" t="s">
        <v>61</v>
      </c>
      <c r="E8" s="230" t="s">
        <v>13</v>
      </c>
      <c r="F8" s="29"/>
      <c r="G8" s="1248">
        <v>7</v>
      </c>
      <c r="H8" s="1248">
        <v>5</v>
      </c>
      <c r="I8" s="1248">
        <v>5</v>
      </c>
      <c r="J8" s="1248">
        <v>6</v>
      </c>
      <c r="K8" s="1249">
        <v>1</v>
      </c>
      <c r="L8" s="1230"/>
      <c r="M8" s="210">
        <f t="shared" ref="M8" si="0">(G8*5)+(H8*5)+(I8*4)+(J8*3)+(K8*2)</f>
        <v>100</v>
      </c>
      <c r="N8" s="658">
        <f>SUM(G8:L8)</f>
        <v>24</v>
      </c>
      <c r="O8" s="652" t="str">
        <f>IF(M8&gt;114,"Yes","NO")</f>
        <v>NO</v>
      </c>
      <c r="P8" s="662" t="str">
        <f t="shared" ref="P8" si="1">IF(O8="yes","HM","")</f>
        <v/>
      </c>
      <c r="Q8" s="613" t="str">
        <f t="shared" ref="Q8" si="2">IF(M8=0," ",IF(N8&lt;&gt;24,"ERROR!"," "))</f>
        <v xml:space="preserve"> </v>
      </c>
      <c r="R8" s="3"/>
    </row>
    <row r="9" spans="1:19" ht="15.75" x14ac:dyDescent="0.25">
      <c r="A9" s="25" t="s">
        <v>95</v>
      </c>
      <c r="B9" s="161">
        <v>1266</v>
      </c>
      <c r="C9" s="61" t="s">
        <v>223</v>
      </c>
      <c r="D9" s="145" t="s">
        <v>11</v>
      </c>
      <c r="E9" s="230" t="s">
        <v>3</v>
      </c>
      <c r="F9" s="29"/>
      <c r="G9" s="1248">
        <v>8</v>
      </c>
      <c r="H9" s="1248">
        <v>6</v>
      </c>
      <c r="I9" s="1248">
        <v>10</v>
      </c>
      <c r="J9" s="1248"/>
      <c r="K9" s="1249"/>
      <c r="L9" s="1230"/>
      <c r="M9" s="210">
        <f t="shared" ref="M9:M13" si="3">(G9*5)+(H9*5)+(I9*4)+(J9*3)+(K9*2)</f>
        <v>110</v>
      </c>
      <c r="N9" s="658">
        <f>SUM(G9:L9)</f>
        <v>24</v>
      </c>
      <c r="O9" s="652" t="str">
        <f>IF(M9&gt;114,"Yes","NO")</f>
        <v>NO</v>
      </c>
      <c r="P9" s="662" t="str">
        <f t="shared" ref="P9:P11" si="4">IF(O9="yes","HM","")</f>
        <v/>
      </c>
      <c r="Q9" s="613" t="str">
        <f t="shared" ref="Q9:Q11" si="5">IF(M9=0," ",IF(N9&lt;&gt;24,"ERROR!"," "))</f>
        <v xml:space="preserve"> </v>
      </c>
      <c r="R9" s="3"/>
    </row>
    <row r="10" spans="1:19" ht="15.75" x14ac:dyDescent="0.25">
      <c r="A10" s="25" t="s">
        <v>95</v>
      </c>
      <c r="B10" s="184">
        <v>1783</v>
      </c>
      <c r="C10" s="37" t="s">
        <v>181</v>
      </c>
      <c r="D10" s="178" t="s">
        <v>11</v>
      </c>
      <c r="E10" s="1077" t="s">
        <v>3</v>
      </c>
      <c r="F10" s="40"/>
      <c r="G10" s="1205">
        <v>8</v>
      </c>
      <c r="H10" s="1205">
        <v>6</v>
      </c>
      <c r="I10" s="1205">
        <v>8</v>
      </c>
      <c r="J10" s="1205">
        <v>2</v>
      </c>
      <c r="K10" s="1250"/>
      <c r="L10" s="1251"/>
      <c r="M10" s="213">
        <f t="shared" si="3"/>
        <v>108</v>
      </c>
      <c r="N10" s="538">
        <f t="shared" ref="N10" si="6">SUM(G10:L10)</f>
        <v>24</v>
      </c>
      <c r="O10" s="235" t="str">
        <f t="shared" ref="O10" si="7">IF(M10&gt;114,"Yes","NO")</f>
        <v>NO</v>
      </c>
      <c r="P10" s="1078"/>
      <c r="Q10" s="555"/>
      <c r="R10" s="3"/>
    </row>
    <row r="11" spans="1:19" ht="15.75" x14ac:dyDescent="0.25">
      <c r="A11" s="25" t="s">
        <v>95</v>
      </c>
      <c r="B11" s="151">
        <v>1475</v>
      </c>
      <c r="C11" s="71" t="s">
        <v>30</v>
      </c>
      <c r="D11" s="127" t="s">
        <v>10</v>
      </c>
      <c r="E11" s="47" t="s">
        <v>3</v>
      </c>
      <c r="F11" s="48" t="e">
        <f>VLOOKUP(E11,$X$7:$Y$14,2,FALSE)</f>
        <v>#N/A</v>
      </c>
      <c r="G11" s="1252">
        <v>4</v>
      </c>
      <c r="H11" s="1252">
        <v>9</v>
      </c>
      <c r="I11" s="1252">
        <v>7</v>
      </c>
      <c r="J11" s="1252">
        <v>4</v>
      </c>
      <c r="K11" s="1252"/>
      <c r="L11" s="1232"/>
      <c r="M11" s="213">
        <f t="shared" si="3"/>
        <v>105</v>
      </c>
      <c r="N11" s="538">
        <f t="shared" ref="N11:N38" si="8">SUM(G11:L11)</f>
        <v>24</v>
      </c>
      <c r="O11" s="235" t="str">
        <f t="shared" ref="O11" si="9">IF(M11&gt;114,"Yes","NO")</f>
        <v>NO</v>
      </c>
      <c r="P11" s="663" t="str">
        <f t="shared" si="4"/>
        <v/>
      </c>
      <c r="Q11" s="112" t="str">
        <f t="shared" si="5"/>
        <v xml:space="preserve"> </v>
      </c>
      <c r="R11" s="3"/>
    </row>
    <row r="12" spans="1:19" ht="15.75" x14ac:dyDescent="0.25">
      <c r="A12" s="25" t="s">
        <v>95</v>
      </c>
      <c r="B12" s="151">
        <v>786</v>
      </c>
      <c r="C12" s="71" t="s">
        <v>29</v>
      </c>
      <c r="D12" s="127" t="s">
        <v>10</v>
      </c>
      <c r="E12" s="231" t="s">
        <v>3</v>
      </c>
      <c r="F12" s="48">
        <v>4</v>
      </c>
      <c r="G12" s="1252">
        <v>8</v>
      </c>
      <c r="H12" s="1252">
        <v>4</v>
      </c>
      <c r="I12" s="1252">
        <v>8</v>
      </c>
      <c r="J12" s="1252">
        <v>4</v>
      </c>
      <c r="K12" s="1231"/>
      <c r="L12" s="1232"/>
      <c r="M12" s="213">
        <f t="shared" si="3"/>
        <v>104</v>
      </c>
      <c r="N12" s="538">
        <f t="shared" ref="N12" si="10">SUM(G12:L12)</f>
        <v>24</v>
      </c>
      <c r="O12" s="235" t="str">
        <f t="shared" ref="O12" si="11">IF(M12&gt;114,"Yes","NO")</f>
        <v>NO</v>
      </c>
      <c r="P12" s="663"/>
      <c r="Q12" s="112"/>
      <c r="R12" s="3"/>
    </row>
    <row r="13" spans="1:19" ht="16.5" thickBot="1" x14ac:dyDescent="0.3">
      <c r="A13" s="25" t="s">
        <v>95</v>
      </c>
      <c r="B13" s="151">
        <v>1786</v>
      </c>
      <c r="C13" s="71" t="s">
        <v>28</v>
      </c>
      <c r="D13" s="127" t="s">
        <v>12</v>
      </c>
      <c r="E13" s="231" t="s">
        <v>3</v>
      </c>
      <c r="F13" s="48" t="e">
        <f>VLOOKUP(E13,$X$7:$Y$14,2,FALSE)</f>
        <v>#N/A</v>
      </c>
      <c r="G13" s="1207">
        <v>3</v>
      </c>
      <c r="H13" s="1207">
        <v>7</v>
      </c>
      <c r="I13" s="1207">
        <v>11</v>
      </c>
      <c r="J13" s="1207">
        <v>3</v>
      </c>
      <c r="K13" s="1231"/>
      <c r="L13" s="1232"/>
      <c r="M13" s="213">
        <f t="shared" si="3"/>
        <v>103</v>
      </c>
      <c r="N13" s="538">
        <f t="shared" ref="N13" si="12">SUM(G13:L13)</f>
        <v>24</v>
      </c>
      <c r="O13" s="235" t="str">
        <f t="shared" ref="O13" si="13">IF(M13&gt;114,"Yes","NO")</f>
        <v>NO</v>
      </c>
      <c r="P13" s="663"/>
      <c r="Q13" s="112"/>
      <c r="R13" s="3"/>
    </row>
    <row r="14" spans="1:19" ht="15.75" x14ac:dyDescent="0.25">
      <c r="A14" s="25" t="s">
        <v>95</v>
      </c>
      <c r="B14" s="161">
        <v>1798</v>
      </c>
      <c r="C14" s="61" t="s">
        <v>96</v>
      </c>
      <c r="D14" s="145" t="s">
        <v>7</v>
      </c>
      <c r="E14" s="28" t="s">
        <v>4</v>
      </c>
      <c r="F14" s="29" t="e">
        <f>VLOOKUP(E14,$X$7:$Y$14,2,FALSE)</f>
        <v>#N/A</v>
      </c>
      <c r="G14" s="1248">
        <v>0</v>
      </c>
      <c r="H14" s="1248">
        <v>3</v>
      </c>
      <c r="I14" s="1248">
        <v>14</v>
      </c>
      <c r="J14" s="1248">
        <v>7</v>
      </c>
      <c r="K14" s="1249"/>
      <c r="L14" s="1230"/>
      <c r="M14" s="210">
        <f t="shared" ref="M14:M27" si="14">(G14*5)+(H14*5)+(I14*4)+(J14*3)+(K14*2)</f>
        <v>92</v>
      </c>
      <c r="N14" s="658">
        <f t="shared" si="8"/>
        <v>24</v>
      </c>
      <c r="O14" s="652" t="str">
        <f t="shared" ref="O14" si="15">IF(M14&gt;109,"Yes","NO")</f>
        <v>NO</v>
      </c>
      <c r="P14" s="662" t="str">
        <f t="shared" ref="P14" si="16">IF(O14="yes","M","")</f>
        <v/>
      </c>
      <c r="Q14" s="613" t="str">
        <f t="shared" ref="Q14" si="17">IF(M14=0," ",IF(N14&lt;&gt;24,"ERROR!"," "))</f>
        <v xml:space="preserve"> </v>
      </c>
      <c r="R14" s="3"/>
    </row>
    <row r="15" spans="1:19" ht="15.75" x14ac:dyDescent="0.25">
      <c r="A15" s="25" t="s">
        <v>95</v>
      </c>
      <c r="B15" s="151">
        <v>1465</v>
      </c>
      <c r="C15" s="71" t="s">
        <v>244</v>
      </c>
      <c r="D15" s="127" t="s">
        <v>12</v>
      </c>
      <c r="E15" s="47" t="s">
        <v>4</v>
      </c>
      <c r="F15" s="48">
        <v>1</v>
      </c>
      <c r="G15" s="1252">
        <v>2</v>
      </c>
      <c r="H15" s="1252">
        <v>2</v>
      </c>
      <c r="I15" s="1252">
        <v>10</v>
      </c>
      <c r="J15" s="1252">
        <v>10</v>
      </c>
      <c r="K15" s="1252"/>
      <c r="L15" s="1232"/>
      <c r="M15" s="213">
        <f t="shared" si="14"/>
        <v>90</v>
      </c>
      <c r="N15" s="538">
        <f>SUM(G15:L15)</f>
        <v>24</v>
      </c>
      <c r="O15" s="235" t="str">
        <f>IF(M15&gt;109,"Yes","NO")</f>
        <v>NO</v>
      </c>
      <c r="P15" s="663" t="str">
        <f>IF(O15="yes","M","")</f>
        <v/>
      </c>
      <c r="Q15" s="112" t="str">
        <f>IF(M15=0," ",IF(N15&lt;&gt;24,"ERROR!"," "))</f>
        <v xml:space="preserve"> </v>
      </c>
      <c r="R15" s="3"/>
    </row>
    <row r="16" spans="1:19" ht="16.5" thickBot="1" x14ac:dyDescent="0.3">
      <c r="A16" s="25" t="s">
        <v>95</v>
      </c>
      <c r="B16" s="158">
        <v>1477</v>
      </c>
      <c r="C16" s="105" t="s">
        <v>200</v>
      </c>
      <c r="D16" s="109" t="s">
        <v>12</v>
      </c>
      <c r="E16" s="56" t="s">
        <v>4</v>
      </c>
      <c r="F16" s="57"/>
      <c r="G16" s="1233">
        <v>0</v>
      </c>
      <c r="H16" s="1233">
        <v>1</v>
      </c>
      <c r="I16" s="1233">
        <v>13</v>
      </c>
      <c r="J16" s="1233">
        <v>7</v>
      </c>
      <c r="K16" s="1234">
        <v>2</v>
      </c>
      <c r="L16" s="1235">
        <v>1</v>
      </c>
      <c r="M16" s="216">
        <f t="shared" si="14"/>
        <v>82</v>
      </c>
      <c r="N16" s="659">
        <f>SUM(G16:L16)</f>
        <v>24</v>
      </c>
      <c r="O16" s="653" t="str">
        <f>IF(M16&gt;109,"Yes","NO")</f>
        <v>NO</v>
      </c>
      <c r="P16" s="664"/>
      <c r="Q16" s="614"/>
      <c r="R16" s="3"/>
    </row>
    <row r="17" spans="1:18" ht="15.75" x14ac:dyDescent="0.25">
      <c r="A17" s="25" t="s">
        <v>95</v>
      </c>
      <c r="B17" s="234">
        <v>921</v>
      </c>
      <c r="C17" s="129" t="s">
        <v>33</v>
      </c>
      <c r="D17" s="132" t="s">
        <v>10</v>
      </c>
      <c r="E17" s="64" t="s">
        <v>6</v>
      </c>
      <c r="F17" s="65" t="e">
        <f t="shared" ref="F17:F27" si="18">VLOOKUP(E17,$X$7:$Y$14,2,FALSE)</f>
        <v>#N/A</v>
      </c>
      <c r="G17" s="1236">
        <v>3</v>
      </c>
      <c r="H17" s="1236">
        <v>4</v>
      </c>
      <c r="I17" s="1236">
        <v>12</v>
      </c>
      <c r="J17" s="1236">
        <v>4</v>
      </c>
      <c r="K17" s="1236">
        <v>1</v>
      </c>
      <c r="L17" s="1237"/>
      <c r="M17" s="263">
        <f t="shared" si="14"/>
        <v>97</v>
      </c>
      <c r="N17" s="237">
        <f>SUM(G17:L17)</f>
        <v>24</v>
      </c>
      <c r="O17" s="226" t="str">
        <f>IF(M17&gt;102,"Yes","NO")</f>
        <v>NO</v>
      </c>
      <c r="P17" s="665" t="str">
        <f>IF(O17="yes","G","")</f>
        <v/>
      </c>
      <c r="Q17" s="169" t="str">
        <f>IF(M17=0," ",IF(N17&lt;&gt;24,"ERROR!"," "))</f>
        <v xml:space="preserve"> </v>
      </c>
      <c r="R17" s="3"/>
    </row>
    <row r="18" spans="1:18" ht="15.75" x14ac:dyDescent="0.25">
      <c r="A18" s="25" t="s">
        <v>95</v>
      </c>
      <c r="B18" s="151">
        <v>1118</v>
      </c>
      <c r="C18" s="71" t="s">
        <v>31</v>
      </c>
      <c r="D18" s="127" t="s">
        <v>10</v>
      </c>
      <c r="E18" s="47" t="s">
        <v>6</v>
      </c>
      <c r="F18" s="48" t="e">
        <f t="shared" si="18"/>
        <v>#N/A</v>
      </c>
      <c r="G18" s="1238">
        <v>0</v>
      </c>
      <c r="H18" s="1238">
        <v>5</v>
      </c>
      <c r="I18" s="1238">
        <v>12</v>
      </c>
      <c r="J18" s="1238">
        <v>7</v>
      </c>
      <c r="K18" s="1231"/>
      <c r="L18" s="1239"/>
      <c r="M18" s="232">
        <f t="shared" si="14"/>
        <v>94</v>
      </c>
      <c r="N18" s="233">
        <f t="shared" si="8"/>
        <v>24</v>
      </c>
      <c r="O18" s="226" t="str">
        <f t="shared" ref="O18:O26" si="19">IF(M18&gt;102,"Yes","NO")</f>
        <v>NO</v>
      </c>
      <c r="P18" s="665" t="str">
        <f t="shared" ref="P18:P26" si="20">IF(O18="yes","G","")</f>
        <v/>
      </c>
      <c r="Q18" s="169" t="str">
        <f t="shared" ref="Q18:Q26" si="21">IF(M18=0," ",IF(N18&lt;&gt;24,"ERROR!"," "))</f>
        <v xml:space="preserve"> </v>
      </c>
      <c r="R18" s="3"/>
    </row>
    <row r="19" spans="1:18" ht="15.75" x14ac:dyDescent="0.25">
      <c r="A19" s="25" t="s">
        <v>95</v>
      </c>
      <c r="B19" s="151">
        <v>1784</v>
      </c>
      <c r="C19" s="127" t="s">
        <v>177</v>
      </c>
      <c r="D19" s="127" t="s">
        <v>11</v>
      </c>
      <c r="E19" s="47" t="s">
        <v>6</v>
      </c>
      <c r="F19" s="48" t="e">
        <f t="shared" si="18"/>
        <v>#N/A</v>
      </c>
      <c r="G19" s="1202">
        <v>3</v>
      </c>
      <c r="H19" s="1202">
        <v>4</v>
      </c>
      <c r="I19" s="1202">
        <v>6</v>
      </c>
      <c r="J19" s="1202">
        <v>10</v>
      </c>
      <c r="K19" s="1231">
        <v>1</v>
      </c>
      <c r="L19" s="1240"/>
      <c r="M19" s="213">
        <f t="shared" si="14"/>
        <v>91</v>
      </c>
      <c r="N19" s="214">
        <f t="shared" ref="N19:N27" si="22">SUM(G19:L19)</f>
        <v>24</v>
      </c>
      <c r="O19" s="226" t="str">
        <f t="shared" si="19"/>
        <v>NO</v>
      </c>
      <c r="P19" s="666" t="str">
        <f>IF(O19="yes","S","")</f>
        <v/>
      </c>
      <c r="Q19" s="128" t="str">
        <f>IF(M19=0," ",IF(N19&lt;&gt;24,"ERROR!"," "))</f>
        <v xml:space="preserve"> </v>
      </c>
      <c r="R19" s="3"/>
    </row>
    <row r="20" spans="1:18" ht="15.75" x14ac:dyDescent="0.25">
      <c r="A20" s="25" t="s">
        <v>95</v>
      </c>
      <c r="B20" s="151">
        <v>1799</v>
      </c>
      <c r="C20" s="71" t="s">
        <v>180</v>
      </c>
      <c r="D20" s="127" t="s">
        <v>11</v>
      </c>
      <c r="E20" s="47" t="s">
        <v>6</v>
      </c>
      <c r="F20" s="48" t="e">
        <f t="shared" si="18"/>
        <v>#N/A</v>
      </c>
      <c r="G20" s="1241">
        <v>2</v>
      </c>
      <c r="H20" s="1241">
        <v>3</v>
      </c>
      <c r="I20" s="1241">
        <v>9</v>
      </c>
      <c r="J20" s="1241">
        <v>8</v>
      </c>
      <c r="K20" s="1231">
        <v>2</v>
      </c>
      <c r="L20" s="1239"/>
      <c r="M20" s="232">
        <f t="shared" si="14"/>
        <v>89</v>
      </c>
      <c r="N20" s="233">
        <f t="shared" si="22"/>
        <v>24</v>
      </c>
      <c r="O20" s="226" t="str">
        <f t="shared" si="19"/>
        <v>NO</v>
      </c>
      <c r="P20" s="665" t="str">
        <f t="shared" si="20"/>
        <v/>
      </c>
      <c r="Q20" s="169" t="str">
        <f t="shared" si="21"/>
        <v xml:space="preserve"> </v>
      </c>
      <c r="R20" s="3"/>
    </row>
    <row r="21" spans="1:18" ht="15.75" x14ac:dyDescent="0.25">
      <c r="A21" s="25" t="s">
        <v>95</v>
      </c>
      <c r="B21" s="157">
        <v>2296</v>
      </c>
      <c r="C21" s="72" t="s">
        <v>218</v>
      </c>
      <c r="D21" s="127" t="s">
        <v>10</v>
      </c>
      <c r="E21" s="231" t="s">
        <v>6</v>
      </c>
      <c r="F21" s="48" t="e">
        <f t="shared" si="18"/>
        <v>#N/A</v>
      </c>
      <c r="G21" s="1202">
        <v>2</v>
      </c>
      <c r="H21" s="1202">
        <v>0</v>
      </c>
      <c r="I21" s="1202">
        <v>12</v>
      </c>
      <c r="J21" s="1202">
        <v>7</v>
      </c>
      <c r="K21" s="1231">
        <v>3</v>
      </c>
      <c r="L21" s="1240"/>
      <c r="M21" s="213">
        <f t="shared" si="14"/>
        <v>85</v>
      </c>
      <c r="N21" s="214">
        <f t="shared" si="22"/>
        <v>24</v>
      </c>
      <c r="O21" s="226" t="str">
        <f t="shared" si="19"/>
        <v>NO</v>
      </c>
      <c r="P21" s="666" t="str">
        <f>IF(O21="yes","S","")</f>
        <v/>
      </c>
      <c r="Q21" s="128" t="str">
        <f>IF(M21=0," ",IF(N21&lt;&gt;24,"ERROR!"," "))</f>
        <v xml:space="preserve"> </v>
      </c>
      <c r="R21" s="3"/>
    </row>
    <row r="22" spans="1:18" ht="15.75" x14ac:dyDescent="0.25">
      <c r="A22" s="25" t="s">
        <v>95</v>
      </c>
      <c r="B22" s="157">
        <v>1764</v>
      </c>
      <c r="C22" s="72" t="s">
        <v>264</v>
      </c>
      <c r="D22" s="127" t="s">
        <v>12</v>
      </c>
      <c r="E22" s="231" t="s">
        <v>6</v>
      </c>
      <c r="F22" s="48" t="e">
        <f t="shared" si="18"/>
        <v>#N/A</v>
      </c>
      <c r="G22" s="880">
        <v>1</v>
      </c>
      <c r="H22" s="880">
        <v>2</v>
      </c>
      <c r="I22" s="880">
        <v>8</v>
      </c>
      <c r="J22" s="880">
        <v>11</v>
      </c>
      <c r="K22" s="999">
        <v>2</v>
      </c>
      <c r="L22" s="1347"/>
      <c r="M22" s="213">
        <f t="shared" si="14"/>
        <v>84</v>
      </c>
      <c r="N22" s="214">
        <f t="shared" ref="N22" si="23">SUM(G22:L22)</f>
        <v>24</v>
      </c>
      <c r="O22" s="226" t="str">
        <f t="shared" ref="O22" si="24">IF(M22&gt;102,"Yes","NO")</f>
        <v>NO</v>
      </c>
      <c r="P22" s="665"/>
      <c r="Q22" s="169"/>
      <c r="R22" s="3"/>
    </row>
    <row r="23" spans="1:18" ht="15.75" x14ac:dyDescent="0.25">
      <c r="A23" s="25" t="s">
        <v>95</v>
      </c>
      <c r="B23" s="151">
        <v>309</v>
      </c>
      <c r="C23" s="71" t="s">
        <v>235</v>
      </c>
      <c r="D23" s="127" t="s">
        <v>10</v>
      </c>
      <c r="E23" s="47" t="s">
        <v>6</v>
      </c>
      <c r="F23" s="48" t="e">
        <f t="shared" si="18"/>
        <v>#N/A</v>
      </c>
      <c r="G23" s="1241">
        <v>3</v>
      </c>
      <c r="H23" s="1241">
        <v>0</v>
      </c>
      <c r="I23" s="1241">
        <v>9</v>
      </c>
      <c r="J23" s="1241">
        <v>7</v>
      </c>
      <c r="K23" s="1231">
        <v>5</v>
      </c>
      <c r="L23" s="1240"/>
      <c r="M23" s="213">
        <f t="shared" si="14"/>
        <v>82</v>
      </c>
      <c r="N23" s="214">
        <f t="shared" ref="N23" si="25">SUM(G23:L23)</f>
        <v>24</v>
      </c>
      <c r="O23" s="226" t="str">
        <f t="shared" ref="O23" si="26">IF(M23&gt;102,"Yes","NO")</f>
        <v>NO</v>
      </c>
      <c r="P23" s="665"/>
      <c r="Q23" s="169"/>
      <c r="R23" s="3"/>
    </row>
    <row r="24" spans="1:18" ht="15.75" x14ac:dyDescent="0.25">
      <c r="A24" s="25" t="s">
        <v>95</v>
      </c>
      <c r="B24" s="157">
        <v>1767</v>
      </c>
      <c r="C24" s="72" t="s">
        <v>224</v>
      </c>
      <c r="D24" s="127" t="s">
        <v>11</v>
      </c>
      <c r="E24" s="231" t="s">
        <v>6</v>
      </c>
      <c r="F24" s="48" t="e">
        <f t="shared" si="18"/>
        <v>#N/A</v>
      </c>
      <c r="G24" s="1202">
        <v>0</v>
      </c>
      <c r="H24" s="1202">
        <v>5</v>
      </c>
      <c r="I24" s="1202">
        <v>5</v>
      </c>
      <c r="J24" s="1202">
        <v>10</v>
      </c>
      <c r="K24" s="1231">
        <v>3</v>
      </c>
      <c r="L24" s="1239">
        <v>1</v>
      </c>
      <c r="M24" s="232">
        <f t="shared" si="14"/>
        <v>81</v>
      </c>
      <c r="N24" s="233">
        <f t="shared" si="22"/>
        <v>24</v>
      </c>
      <c r="O24" s="226" t="str">
        <f t="shared" si="19"/>
        <v>NO</v>
      </c>
      <c r="P24" s="665" t="str">
        <f t="shared" si="20"/>
        <v/>
      </c>
      <c r="Q24" s="169" t="str">
        <f t="shared" si="21"/>
        <v xml:space="preserve"> </v>
      </c>
      <c r="R24" s="3"/>
    </row>
    <row r="25" spans="1:18" ht="15.75" x14ac:dyDescent="0.25">
      <c r="A25" s="25" t="s">
        <v>95</v>
      </c>
      <c r="B25" s="151">
        <v>1982</v>
      </c>
      <c r="C25" s="71" t="s">
        <v>73</v>
      </c>
      <c r="D25" s="127" t="s">
        <v>12</v>
      </c>
      <c r="E25" s="47" t="s">
        <v>6</v>
      </c>
      <c r="F25" s="48" t="e">
        <f t="shared" si="18"/>
        <v>#N/A</v>
      </c>
      <c r="G25" s="1241">
        <v>0</v>
      </c>
      <c r="H25" s="1241">
        <v>2</v>
      </c>
      <c r="I25" s="1241">
        <v>6</v>
      </c>
      <c r="J25" s="1241">
        <v>9</v>
      </c>
      <c r="K25" s="1231">
        <v>7</v>
      </c>
      <c r="L25" s="1239"/>
      <c r="M25" s="232">
        <f t="shared" si="14"/>
        <v>75</v>
      </c>
      <c r="N25" s="233">
        <f t="shared" si="22"/>
        <v>24</v>
      </c>
      <c r="O25" s="226" t="str">
        <f t="shared" si="19"/>
        <v>NO</v>
      </c>
      <c r="P25" s="665" t="str">
        <f t="shared" si="20"/>
        <v/>
      </c>
      <c r="Q25" s="169" t="str">
        <f t="shared" si="21"/>
        <v xml:space="preserve"> </v>
      </c>
      <c r="R25" s="3"/>
    </row>
    <row r="26" spans="1:18" ht="15.75" x14ac:dyDescent="0.25">
      <c r="A26" s="25" t="s">
        <v>95</v>
      </c>
      <c r="B26" s="151">
        <v>638</v>
      </c>
      <c r="C26" s="71" t="s">
        <v>205</v>
      </c>
      <c r="D26" s="127" t="s">
        <v>12</v>
      </c>
      <c r="E26" s="47" t="s">
        <v>6</v>
      </c>
      <c r="F26" s="48" t="e">
        <f t="shared" si="18"/>
        <v>#N/A</v>
      </c>
      <c r="G26" s="1207">
        <v>0</v>
      </c>
      <c r="H26" s="1207">
        <v>2</v>
      </c>
      <c r="I26" s="1207">
        <v>3</v>
      </c>
      <c r="J26" s="1207">
        <v>10</v>
      </c>
      <c r="K26" s="1231">
        <v>9</v>
      </c>
      <c r="L26" s="1242"/>
      <c r="M26" s="232">
        <f t="shared" si="14"/>
        <v>70</v>
      </c>
      <c r="N26" s="233">
        <f t="shared" si="22"/>
        <v>24</v>
      </c>
      <c r="O26" s="226" t="str">
        <f t="shared" si="19"/>
        <v>NO</v>
      </c>
      <c r="P26" s="665" t="str">
        <f t="shared" si="20"/>
        <v/>
      </c>
      <c r="Q26" s="169" t="str">
        <f t="shared" si="21"/>
        <v xml:space="preserve"> </v>
      </c>
      <c r="R26" s="3"/>
    </row>
    <row r="27" spans="1:18" ht="16.5" thickBot="1" x14ac:dyDescent="0.3">
      <c r="A27" s="25" t="s">
        <v>95</v>
      </c>
      <c r="B27" s="157">
        <v>1615</v>
      </c>
      <c r="C27" s="72" t="s">
        <v>48</v>
      </c>
      <c r="D27" s="127" t="s">
        <v>12</v>
      </c>
      <c r="E27" s="231" t="s">
        <v>6</v>
      </c>
      <c r="F27" s="48" t="e">
        <f t="shared" si="18"/>
        <v>#N/A</v>
      </c>
      <c r="G27" s="1202">
        <v>0</v>
      </c>
      <c r="H27" s="1202">
        <v>1</v>
      </c>
      <c r="I27" s="1202">
        <v>4</v>
      </c>
      <c r="J27" s="1202">
        <v>8</v>
      </c>
      <c r="K27" s="1231">
        <v>9</v>
      </c>
      <c r="L27" s="1239">
        <v>2</v>
      </c>
      <c r="M27" s="232">
        <f t="shared" si="14"/>
        <v>63</v>
      </c>
      <c r="N27" s="233">
        <f t="shared" si="22"/>
        <v>24</v>
      </c>
      <c r="O27" s="226" t="str">
        <f t="shared" ref="O27" si="27">IF(M27&gt;102,"Yes","NO")</f>
        <v>NO</v>
      </c>
      <c r="P27" s="665"/>
      <c r="Q27" s="169"/>
      <c r="R27" s="3"/>
    </row>
    <row r="28" spans="1:18" ht="15.75" x14ac:dyDescent="0.25">
      <c r="A28" s="25" t="s">
        <v>95</v>
      </c>
      <c r="B28" s="161">
        <v>1249</v>
      </c>
      <c r="C28" s="61" t="s">
        <v>216</v>
      </c>
      <c r="D28" s="145" t="s">
        <v>10</v>
      </c>
      <c r="E28" s="28" t="s">
        <v>5</v>
      </c>
      <c r="F28" s="29"/>
      <c r="G28" s="1243">
        <v>1</v>
      </c>
      <c r="H28" s="1243">
        <v>0</v>
      </c>
      <c r="I28" s="1243">
        <v>10</v>
      </c>
      <c r="J28" s="1243">
        <v>5</v>
      </c>
      <c r="K28" s="1243">
        <v>8</v>
      </c>
      <c r="L28" s="1244">
        <v>0</v>
      </c>
      <c r="M28" s="210">
        <f t="shared" ref="M28" si="28">(G28*5)+(H28*5)+(I28*4)+(J28*3)+(K28*2)</f>
        <v>76</v>
      </c>
      <c r="N28" s="211">
        <f t="shared" si="8"/>
        <v>24</v>
      </c>
      <c r="O28" s="652" t="str">
        <f t="shared" ref="O28:O40" si="29">IF(M28&gt;84,"Yes","NO")</f>
        <v>NO</v>
      </c>
      <c r="P28" s="667" t="str">
        <f t="shared" ref="P28:P40" si="30">IF(O28="yes","S","")</f>
        <v/>
      </c>
      <c r="Q28" s="633" t="str">
        <f t="shared" ref="Q28:Q40" si="31">IF(M28=0," ",IF(N28&lt;&gt;24,"ERROR!"," "))</f>
        <v xml:space="preserve"> </v>
      </c>
      <c r="R28" s="3"/>
    </row>
    <row r="29" spans="1:18" ht="15.75" x14ac:dyDescent="0.25">
      <c r="A29" s="25" t="s">
        <v>95</v>
      </c>
      <c r="B29" s="151">
        <v>1850</v>
      </c>
      <c r="C29" s="71" t="s">
        <v>243</v>
      </c>
      <c r="D29" s="127" t="s">
        <v>8</v>
      </c>
      <c r="E29" s="47" t="s">
        <v>5</v>
      </c>
      <c r="F29" s="48">
        <v>1</v>
      </c>
      <c r="G29" s="1241">
        <v>1</v>
      </c>
      <c r="H29" s="1241">
        <v>2</v>
      </c>
      <c r="I29" s="1241">
        <v>6</v>
      </c>
      <c r="J29" s="1241">
        <v>6</v>
      </c>
      <c r="K29" s="1231">
        <v>9</v>
      </c>
      <c r="L29" s="1240"/>
      <c r="M29" s="213">
        <f t="shared" ref="M29:M40" si="32">(G29*5)+(H29*5)+(I29*4)+(J29*3)+(K29*2)</f>
        <v>75</v>
      </c>
      <c r="N29" s="214">
        <f t="shared" si="8"/>
        <v>24</v>
      </c>
      <c r="O29" s="235" t="str">
        <f t="shared" si="29"/>
        <v>NO</v>
      </c>
      <c r="P29" s="666" t="str">
        <f t="shared" si="30"/>
        <v/>
      </c>
      <c r="Q29" s="128" t="str">
        <f t="shared" si="31"/>
        <v xml:space="preserve"> </v>
      </c>
      <c r="R29" s="3"/>
    </row>
    <row r="30" spans="1:18" ht="15.75" x14ac:dyDescent="0.25">
      <c r="A30" s="25" t="s">
        <v>95</v>
      </c>
      <c r="B30" s="157">
        <v>2040</v>
      </c>
      <c r="C30" s="72" t="s">
        <v>178</v>
      </c>
      <c r="D30" s="71" t="s">
        <v>11</v>
      </c>
      <c r="E30" s="47" t="s">
        <v>5</v>
      </c>
      <c r="F30" s="48" t="e">
        <f>VLOOKUP(E30,$X$7:$Y$14,2,FALSE)</f>
        <v>#N/A</v>
      </c>
      <c r="G30" s="1241">
        <v>2</v>
      </c>
      <c r="H30" s="1241">
        <v>1</v>
      </c>
      <c r="I30" s="1241">
        <v>8</v>
      </c>
      <c r="J30" s="1241">
        <v>5</v>
      </c>
      <c r="K30" s="1231">
        <v>6</v>
      </c>
      <c r="L30" s="1240">
        <v>2</v>
      </c>
      <c r="M30" s="213">
        <f t="shared" si="32"/>
        <v>74</v>
      </c>
      <c r="N30" s="214">
        <f t="shared" si="8"/>
        <v>24</v>
      </c>
      <c r="O30" s="235" t="str">
        <f t="shared" si="29"/>
        <v>NO</v>
      </c>
      <c r="P30" s="666" t="str">
        <f t="shared" si="30"/>
        <v/>
      </c>
      <c r="Q30" s="128" t="str">
        <f t="shared" si="31"/>
        <v xml:space="preserve"> </v>
      </c>
      <c r="R30" s="3"/>
    </row>
    <row r="31" spans="1:18" ht="15.75" x14ac:dyDescent="0.25">
      <c r="A31" s="25" t="s">
        <v>95</v>
      </c>
      <c r="B31" s="151">
        <v>2009</v>
      </c>
      <c r="C31" s="71" t="s">
        <v>234</v>
      </c>
      <c r="D31" s="127" t="s">
        <v>10</v>
      </c>
      <c r="E31" s="47" t="s">
        <v>5</v>
      </c>
      <c r="F31" s="48" t="e">
        <f>VLOOKUP(E31,$X$7:$Y$14,2,FALSE)</f>
        <v>#N/A</v>
      </c>
      <c r="G31" s="1238">
        <v>2</v>
      </c>
      <c r="H31" s="1238">
        <v>1</v>
      </c>
      <c r="I31" s="1238">
        <v>6</v>
      </c>
      <c r="J31" s="1238">
        <v>6</v>
      </c>
      <c r="K31" s="1238">
        <v>8</v>
      </c>
      <c r="L31" s="1245">
        <v>1</v>
      </c>
      <c r="M31" s="213">
        <f t="shared" si="32"/>
        <v>73</v>
      </c>
      <c r="N31" s="214">
        <f t="shared" si="8"/>
        <v>24</v>
      </c>
      <c r="O31" s="235" t="str">
        <f t="shared" si="29"/>
        <v>NO</v>
      </c>
      <c r="P31" s="666" t="str">
        <f t="shared" si="30"/>
        <v/>
      </c>
      <c r="Q31" s="128" t="str">
        <f t="shared" si="31"/>
        <v xml:space="preserve"> </v>
      </c>
      <c r="R31" s="3"/>
    </row>
    <row r="32" spans="1:18" ht="15.75" x14ac:dyDescent="0.25">
      <c r="A32" s="25" t="s">
        <v>95</v>
      </c>
      <c r="B32" s="151">
        <v>2582</v>
      </c>
      <c r="C32" s="71" t="s">
        <v>221</v>
      </c>
      <c r="D32" s="127" t="s">
        <v>10</v>
      </c>
      <c r="E32" s="47" t="s">
        <v>5</v>
      </c>
      <c r="F32" s="48"/>
      <c r="G32" s="1241">
        <v>1</v>
      </c>
      <c r="H32" s="1241">
        <v>2</v>
      </c>
      <c r="I32" s="1241">
        <v>2</v>
      </c>
      <c r="J32" s="1241">
        <v>8</v>
      </c>
      <c r="K32" s="1231">
        <v>11</v>
      </c>
      <c r="L32" s="1240"/>
      <c r="M32" s="213">
        <f t="shared" si="32"/>
        <v>69</v>
      </c>
      <c r="N32" s="214">
        <f t="shared" ref="N32:N33" si="33">SUM(G32:L32)</f>
        <v>24</v>
      </c>
      <c r="O32" s="235" t="str">
        <f t="shared" ref="O32:O33" si="34">IF(M32&gt;84,"Yes","NO")</f>
        <v>NO</v>
      </c>
      <c r="P32" s="666"/>
      <c r="Q32" s="128"/>
      <c r="R32" s="3"/>
    </row>
    <row r="33" spans="1:18" ht="15.75" x14ac:dyDescent="0.25">
      <c r="A33" s="25" t="s">
        <v>95</v>
      </c>
      <c r="B33" s="151">
        <v>1624</v>
      </c>
      <c r="C33" s="71" t="s">
        <v>191</v>
      </c>
      <c r="D33" s="127" t="s">
        <v>12</v>
      </c>
      <c r="E33" s="47" t="s">
        <v>5</v>
      </c>
      <c r="F33" s="48" t="e">
        <f>VLOOKUP(E33,$X$7:$Y$14,2,FALSE)</f>
        <v>#N/A</v>
      </c>
      <c r="G33" s="1241">
        <v>1</v>
      </c>
      <c r="H33" s="1241">
        <v>3</v>
      </c>
      <c r="I33" s="1241">
        <v>2</v>
      </c>
      <c r="J33" s="1241">
        <v>9</v>
      </c>
      <c r="K33" s="1231">
        <v>6</v>
      </c>
      <c r="L33" s="1240">
        <v>3</v>
      </c>
      <c r="M33" s="213">
        <f t="shared" si="32"/>
        <v>67</v>
      </c>
      <c r="N33" s="214">
        <f t="shared" si="33"/>
        <v>24</v>
      </c>
      <c r="O33" s="235" t="str">
        <f t="shared" si="34"/>
        <v>NO</v>
      </c>
      <c r="P33" s="666"/>
      <c r="Q33" s="128"/>
      <c r="R33" s="3"/>
    </row>
    <row r="34" spans="1:18" ht="15.75" x14ac:dyDescent="0.25">
      <c r="A34" s="25" t="s">
        <v>95</v>
      </c>
      <c r="B34" s="151">
        <v>1853</v>
      </c>
      <c r="C34" s="71" t="s">
        <v>40</v>
      </c>
      <c r="D34" s="127" t="s">
        <v>11</v>
      </c>
      <c r="E34" s="47" t="s">
        <v>5</v>
      </c>
      <c r="F34" s="48" t="e">
        <f>VLOOKUP(E34,$X$7:$Y$14,2,FALSE)</f>
        <v>#N/A</v>
      </c>
      <c r="G34" s="1241">
        <v>1</v>
      </c>
      <c r="H34" s="1241">
        <v>2</v>
      </c>
      <c r="I34" s="1241">
        <v>1</v>
      </c>
      <c r="J34" s="1241">
        <v>8</v>
      </c>
      <c r="K34" s="1231">
        <v>12</v>
      </c>
      <c r="L34" s="1240"/>
      <c r="M34" s="213">
        <f t="shared" si="32"/>
        <v>67</v>
      </c>
      <c r="N34" s="214">
        <f t="shared" ref="N34" si="35">SUM(G34:L34)</f>
        <v>24</v>
      </c>
      <c r="O34" s="235" t="str">
        <f t="shared" ref="O34" si="36">IF(M34&gt;84,"Yes","NO")</f>
        <v>NO</v>
      </c>
      <c r="P34" s="666"/>
      <c r="Q34" s="128"/>
      <c r="R34" s="3"/>
    </row>
    <row r="35" spans="1:18" ht="15.75" x14ac:dyDescent="0.25">
      <c r="A35" s="25" t="s">
        <v>95</v>
      </c>
      <c r="B35" s="151">
        <v>2361</v>
      </c>
      <c r="C35" s="71" t="s">
        <v>279</v>
      </c>
      <c r="D35" s="127" t="s">
        <v>12</v>
      </c>
      <c r="E35" s="47" t="s">
        <v>5</v>
      </c>
      <c r="F35" s="48"/>
      <c r="G35" s="1241">
        <v>0</v>
      </c>
      <c r="H35" s="1241">
        <v>1</v>
      </c>
      <c r="I35" s="1241">
        <v>5</v>
      </c>
      <c r="J35" s="1241">
        <v>8</v>
      </c>
      <c r="K35" s="1231">
        <v>8</v>
      </c>
      <c r="L35" s="1240">
        <v>2</v>
      </c>
      <c r="M35" s="213">
        <f t="shared" si="32"/>
        <v>65</v>
      </c>
      <c r="N35" s="214">
        <f t="shared" si="8"/>
        <v>24</v>
      </c>
      <c r="O35" s="235" t="str">
        <f t="shared" si="29"/>
        <v>NO</v>
      </c>
      <c r="P35" s="666" t="str">
        <f t="shared" si="30"/>
        <v/>
      </c>
      <c r="Q35" s="128" t="str">
        <f t="shared" si="31"/>
        <v xml:space="preserve"> </v>
      </c>
      <c r="R35" s="3"/>
    </row>
    <row r="36" spans="1:18" ht="15.75" x14ac:dyDescent="0.25">
      <c r="A36" s="25" t="s">
        <v>95</v>
      </c>
      <c r="B36" s="151">
        <v>1170</v>
      </c>
      <c r="C36" s="71" t="s">
        <v>225</v>
      </c>
      <c r="D36" s="127" t="s">
        <v>11</v>
      </c>
      <c r="E36" s="47" t="s">
        <v>5</v>
      </c>
      <c r="F36" s="48"/>
      <c r="G36" s="1238">
        <v>1</v>
      </c>
      <c r="H36" s="1238">
        <v>0</v>
      </c>
      <c r="I36" s="1238">
        <v>4</v>
      </c>
      <c r="J36" s="1238">
        <v>6</v>
      </c>
      <c r="K36" s="1238">
        <v>12</v>
      </c>
      <c r="L36" s="1240">
        <v>1</v>
      </c>
      <c r="M36" s="213">
        <f t="shared" si="32"/>
        <v>63</v>
      </c>
      <c r="N36" s="214">
        <f t="shared" si="8"/>
        <v>24</v>
      </c>
      <c r="O36" s="235" t="str">
        <f t="shared" si="29"/>
        <v>NO</v>
      </c>
      <c r="P36" s="666" t="str">
        <f t="shared" si="30"/>
        <v/>
      </c>
      <c r="Q36" s="128" t="str">
        <f t="shared" si="31"/>
        <v xml:space="preserve"> </v>
      </c>
      <c r="R36" s="3"/>
    </row>
    <row r="37" spans="1:18" ht="15.75" x14ac:dyDescent="0.25">
      <c r="A37" s="25" t="s">
        <v>95</v>
      </c>
      <c r="B37" s="151">
        <v>2233</v>
      </c>
      <c r="C37" s="71" t="s">
        <v>203</v>
      </c>
      <c r="D37" s="127" t="s">
        <v>12</v>
      </c>
      <c r="E37" s="47" t="s">
        <v>5</v>
      </c>
      <c r="F37" s="48"/>
      <c r="G37" s="1241">
        <v>1</v>
      </c>
      <c r="H37" s="1241">
        <v>1</v>
      </c>
      <c r="I37" s="1241">
        <v>4</v>
      </c>
      <c r="J37" s="1241">
        <v>7</v>
      </c>
      <c r="K37" s="1231">
        <v>7</v>
      </c>
      <c r="L37" s="1240">
        <v>4</v>
      </c>
      <c r="M37" s="213">
        <f t="shared" si="32"/>
        <v>61</v>
      </c>
      <c r="N37" s="214">
        <f t="shared" ref="N37" si="37">SUM(G37:L37)</f>
        <v>24</v>
      </c>
      <c r="O37" s="235" t="str">
        <f t="shared" ref="O37" si="38">IF(M37&gt;84,"Yes","NO")</f>
        <v>NO</v>
      </c>
      <c r="P37" s="666"/>
      <c r="Q37" s="128"/>
      <c r="R37" s="3"/>
    </row>
    <row r="38" spans="1:18" ht="15.75" x14ac:dyDescent="0.25">
      <c r="A38" s="25" t="s">
        <v>95</v>
      </c>
      <c r="B38" s="151">
        <v>1629</v>
      </c>
      <c r="C38" s="71" t="s">
        <v>226</v>
      </c>
      <c r="D38" s="127" t="s">
        <v>11</v>
      </c>
      <c r="E38" s="47" t="s">
        <v>5</v>
      </c>
      <c r="F38" s="48"/>
      <c r="G38" s="1238">
        <v>0</v>
      </c>
      <c r="H38" s="1238">
        <v>1</v>
      </c>
      <c r="I38" s="1238">
        <v>2</v>
      </c>
      <c r="J38" s="1238">
        <v>7</v>
      </c>
      <c r="K38" s="1238">
        <v>12</v>
      </c>
      <c r="L38" s="1240">
        <v>2</v>
      </c>
      <c r="M38" s="213">
        <f t="shared" si="32"/>
        <v>58</v>
      </c>
      <c r="N38" s="214">
        <f t="shared" si="8"/>
        <v>24</v>
      </c>
      <c r="O38" s="235" t="str">
        <f t="shared" si="29"/>
        <v>NO</v>
      </c>
      <c r="P38" s="666" t="str">
        <f t="shared" si="30"/>
        <v/>
      </c>
      <c r="Q38" s="128" t="str">
        <f t="shared" si="31"/>
        <v xml:space="preserve"> </v>
      </c>
      <c r="R38" s="3"/>
    </row>
    <row r="39" spans="1:18" ht="15.75" x14ac:dyDescent="0.25">
      <c r="A39" s="25" t="s">
        <v>95</v>
      </c>
      <c r="B39" s="151">
        <v>2239</v>
      </c>
      <c r="C39" s="71" t="s">
        <v>190</v>
      </c>
      <c r="D39" s="127" t="s">
        <v>12</v>
      </c>
      <c r="E39" s="47" t="s">
        <v>5</v>
      </c>
      <c r="F39" s="48" t="e">
        <f>VLOOKUP(E39,$X$7:$Y$14,2,FALSE)</f>
        <v>#N/A</v>
      </c>
      <c r="G39" s="1241">
        <v>0</v>
      </c>
      <c r="H39" s="1241">
        <v>0</v>
      </c>
      <c r="I39" s="1241">
        <v>2</v>
      </c>
      <c r="J39" s="1241">
        <v>6</v>
      </c>
      <c r="K39" s="1231">
        <v>15</v>
      </c>
      <c r="L39" s="1240">
        <v>1</v>
      </c>
      <c r="M39" s="213">
        <f t="shared" si="32"/>
        <v>56</v>
      </c>
      <c r="N39" s="214">
        <f t="shared" ref="N39" si="39">SUM(G39:L39)</f>
        <v>24</v>
      </c>
      <c r="O39" s="235" t="str">
        <f t="shared" ref="O39" si="40">IF(M39&gt;84,"Yes","NO")</f>
        <v>NO</v>
      </c>
      <c r="P39" s="666"/>
      <c r="Q39" s="128"/>
      <c r="R39" s="3"/>
    </row>
    <row r="40" spans="1:18" ht="16.5" thickBot="1" x14ac:dyDescent="0.3">
      <c r="A40" s="25" t="s">
        <v>95</v>
      </c>
      <c r="B40" s="158">
        <v>1723</v>
      </c>
      <c r="C40" s="105" t="s">
        <v>84</v>
      </c>
      <c r="D40" s="109" t="s">
        <v>12</v>
      </c>
      <c r="E40" s="56" t="s">
        <v>5</v>
      </c>
      <c r="F40" s="57" t="e">
        <f>VLOOKUP(E40,$X$7:$Y$14,2,FALSE)</f>
        <v>#N/A</v>
      </c>
      <c r="G40" s="1246">
        <v>1</v>
      </c>
      <c r="H40" s="1246">
        <v>0</v>
      </c>
      <c r="I40" s="1246">
        <v>3</v>
      </c>
      <c r="J40" s="1246">
        <v>4</v>
      </c>
      <c r="K40" s="1246">
        <v>12</v>
      </c>
      <c r="L40" s="1247">
        <v>4</v>
      </c>
      <c r="M40" s="216">
        <f t="shared" si="32"/>
        <v>53</v>
      </c>
      <c r="N40" s="217">
        <f t="shared" ref="N40" si="41">SUM(G40:L40)</f>
        <v>24</v>
      </c>
      <c r="O40" s="653" t="str">
        <f t="shared" si="29"/>
        <v>NO</v>
      </c>
      <c r="P40" s="668" t="str">
        <f t="shared" si="30"/>
        <v/>
      </c>
      <c r="Q40" s="91" t="str">
        <f t="shared" si="31"/>
        <v xml:space="preserve"> </v>
      </c>
      <c r="R40" s="3"/>
    </row>
    <row r="41" spans="1:18" ht="19.5" thickBot="1" x14ac:dyDescent="0.3">
      <c r="A41" s="3"/>
      <c r="B41" s="173">
        <f>COUNT(B9:B40)</f>
        <v>32</v>
      </c>
      <c r="C41" s="1645" t="s">
        <v>34</v>
      </c>
      <c r="D41" s="1655"/>
      <c r="E41" s="1647" t="s">
        <v>91</v>
      </c>
      <c r="F41" s="1648"/>
      <c r="G41" s="1648"/>
      <c r="H41" s="1648"/>
      <c r="I41" s="1648"/>
      <c r="J41" s="1648"/>
      <c r="K41" s="1648"/>
      <c r="L41" s="1648"/>
      <c r="M41" s="1648"/>
      <c r="N41" s="1648"/>
      <c r="O41" s="1653"/>
      <c r="P41" s="1654"/>
      <c r="Q41" s="3"/>
      <c r="R41" s="3"/>
    </row>
  </sheetData>
  <sortState ref="B29:M40">
    <sortCondition descending="1" ref="M28"/>
  </sortState>
  <mergeCells count="5">
    <mergeCell ref="B4:R4"/>
    <mergeCell ref="C6:L6"/>
    <mergeCell ref="C41:D41"/>
    <mergeCell ref="E41:P41"/>
    <mergeCell ref="A2:S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62"/>
  <sheetViews>
    <sheetView topLeftCell="A4" workbookViewId="0">
      <selection activeCell="O20" sqref="O20"/>
    </sheetView>
  </sheetViews>
  <sheetFormatPr defaultRowHeight="15" x14ac:dyDescent="0.25"/>
  <cols>
    <col min="1" max="1" width="5.85546875" customWidth="1"/>
    <col min="2" max="2" width="8.42578125" customWidth="1"/>
    <col min="3" max="3" width="26.7109375" customWidth="1"/>
    <col min="6" max="6" width="0" hidden="1" customWidth="1"/>
  </cols>
  <sheetData>
    <row r="1" spans="1:19" ht="24" thickBot="1" x14ac:dyDescent="0.3">
      <c r="A1" s="1587" t="s">
        <v>206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9"/>
    </row>
    <row r="2" spans="1:19" ht="16.5" thickBot="1" x14ac:dyDescent="0.3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4"/>
      <c r="P2" s="10"/>
      <c r="Q2" s="3"/>
      <c r="R2" s="3"/>
      <c r="S2" s="3"/>
    </row>
    <row r="3" spans="1:19" ht="24" thickBot="1" x14ac:dyDescent="0.3">
      <c r="A3" s="11"/>
      <c r="B3" s="1590" t="s">
        <v>15</v>
      </c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1591"/>
      <c r="P3" s="1591"/>
      <c r="Q3" s="1591"/>
      <c r="R3" s="1592"/>
      <c r="S3" s="11"/>
    </row>
    <row r="4" spans="1:19" ht="16.5" thickBot="1" x14ac:dyDescent="0.3">
      <c r="A4" s="3"/>
      <c r="B4" s="4"/>
      <c r="C4" s="5"/>
      <c r="D4" s="5"/>
      <c r="E4" s="6"/>
      <c r="F4" s="5"/>
      <c r="G4" s="7"/>
      <c r="H4" s="7"/>
      <c r="I4" s="7"/>
      <c r="J4" s="7"/>
      <c r="K4" s="7"/>
      <c r="L4" s="8"/>
      <c r="M4" s="9"/>
      <c r="N4" s="8"/>
      <c r="O4" s="4"/>
      <c r="P4" s="10"/>
      <c r="Q4" s="3"/>
      <c r="R4" s="3"/>
      <c r="S4" s="3"/>
    </row>
    <row r="5" spans="1:19" ht="27" thickBot="1" x14ac:dyDescent="0.3">
      <c r="A5" s="3"/>
      <c r="B5" s="4"/>
      <c r="C5" s="1601" t="s">
        <v>97</v>
      </c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3"/>
      <c r="P5" s="242"/>
      <c r="Q5" s="3"/>
      <c r="R5" s="3"/>
      <c r="S5" s="5"/>
    </row>
    <row r="6" spans="1:19" ht="32.25" thickBot="1" x14ac:dyDescent="0.3">
      <c r="A6" s="3"/>
      <c r="B6" s="135" t="s">
        <v>157</v>
      </c>
      <c r="C6" s="16" t="s">
        <v>18</v>
      </c>
      <c r="D6" s="190" t="s">
        <v>19</v>
      </c>
      <c r="E6" s="191" t="s">
        <v>20</v>
      </c>
      <c r="F6" s="192"/>
      <c r="G6" s="137" t="s">
        <v>21</v>
      </c>
      <c r="H6" s="138">
        <v>10</v>
      </c>
      <c r="I6" s="138">
        <v>9</v>
      </c>
      <c r="J6" s="138">
        <v>8</v>
      </c>
      <c r="K6" s="138">
        <v>7</v>
      </c>
      <c r="L6" s="139">
        <v>6</v>
      </c>
      <c r="M6" s="140">
        <v>5</v>
      </c>
      <c r="N6" s="141">
        <v>0</v>
      </c>
      <c r="O6" s="243" t="s">
        <v>22</v>
      </c>
      <c r="P6" s="244" t="s">
        <v>42</v>
      </c>
      <c r="Q6" s="98" t="s">
        <v>24</v>
      </c>
      <c r="R6" s="126" t="s">
        <v>25</v>
      </c>
      <c r="S6" s="82" t="s">
        <v>26</v>
      </c>
    </row>
    <row r="7" spans="1:19" ht="18.75" x14ac:dyDescent="0.25">
      <c r="A7" s="25" t="s">
        <v>98</v>
      </c>
      <c r="B7" s="161">
        <v>1783</v>
      </c>
      <c r="C7" s="61" t="s">
        <v>181</v>
      </c>
      <c r="D7" s="145" t="s">
        <v>11</v>
      </c>
      <c r="E7" s="28" t="s">
        <v>13</v>
      </c>
      <c r="F7" s="29" t="e">
        <f>VLOOKUP(E7,$X$6:$Y$12,2,FALSE)</f>
        <v>#N/A</v>
      </c>
      <c r="G7" s="1253">
        <v>18</v>
      </c>
      <c r="H7" s="1253">
        <v>12</v>
      </c>
      <c r="I7" s="1253"/>
      <c r="J7" s="1253"/>
      <c r="K7" s="1253"/>
      <c r="L7" s="147"/>
      <c r="M7" s="147"/>
      <c r="N7" s="768"/>
      <c r="O7" s="194">
        <f t="shared" ref="O7:O14" si="0">(G7*10)+(H7*10)+(I7*9)+(J7*8)+(K7*7)+(L7*6)+(M7*5)</f>
        <v>300</v>
      </c>
      <c r="P7" s="245">
        <f>SUM(G7:N7)</f>
        <v>30</v>
      </c>
      <c r="Q7" s="1657"/>
      <c r="R7" s="1658"/>
      <c r="S7" s="53" t="str">
        <f>IF(O7=0," ",IF(P7&lt;&gt;30,"ERROR!"," "))</f>
        <v xml:space="preserve"> </v>
      </c>
    </row>
    <row r="8" spans="1:19" ht="18.75" x14ac:dyDescent="0.25">
      <c r="A8" s="25" t="s">
        <v>98</v>
      </c>
      <c r="B8" s="151">
        <v>1786</v>
      </c>
      <c r="C8" s="71" t="s">
        <v>172</v>
      </c>
      <c r="D8" s="127" t="s">
        <v>12</v>
      </c>
      <c r="E8" s="47" t="s">
        <v>13</v>
      </c>
      <c r="F8" s="48"/>
      <c r="G8" s="1254">
        <v>16</v>
      </c>
      <c r="H8" s="1254">
        <v>12</v>
      </c>
      <c r="I8" s="1254">
        <v>2</v>
      </c>
      <c r="J8" s="1254"/>
      <c r="K8" s="1254"/>
      <c r="L8" s="153"/>
      <c r="M8" s="153"/>
      <c r="N8" s="250"/>
      <c r="O8" s="198">
        <f t="shared" si="0"/>
        <v>298</v>
      </c>
      <c r="P8" s="195">
        <f t="shared" ref="P8:P33" si="1">SUM(G8:N8)</f>
        <v>30</v>
      </c>
      <c r="Q8" s="1659"/>
      <c r="R8" s="1660"/>
      <c r="S8" s="53" t="str">
        <f>IF(O8=0," ",IF(P8&lt;&gt;30,"ERROR!"," "))</f>
        <v xml:space="preserve"> </v>
      </c>
    </row>
    <row r="9" spans="1:19" ht="18.75" x14ac:dyDescent="0.25">
      <c r="A9" s="25" t="s">
        <v>98</v>
      </c>
      <c r="B9" s="151">
        <v>1784</v>
      </c>
      <c r="C9" s="71" t="s">
        <v>184</v>
      </c>
      <c r="D9" s="127" t="s">
        <v>11</v>
      </c>
      <c r="E9" s="47" t="s">
        <v>13</v>
      </c>
      <c r="F9" s="48" t="e">
        <f>VLOOKUP(E9,$X$6:$Y$12,2,FALSE)</f>
        <v>#N/A</v>
      </c>
      <c r="G9" s="1254">
        <v>15</v>
      </c>
      <c r="H9" s="1254">
        <v>13</v>
      </c>
      <c r="I9" s="1254">
        <v>2</v>
      </c>
      <c r="J9" s="1254"/>
      <c r="K9" s="1254"/>
      <c r="L9" s="153"/>
      <c r="M9" s="153"/>
      <c r="N9" s="250"/>
      <c r="O9" s="198">
        <f t="shared" si="0"/>
        <v>298</v>
      </c>
      <c r="P9" s="195">
        <f t="shared" ref="P9" si="2">SUM(G9:N9)</f>
        <v>30</v>
      </c>
      <c r="Q9" s="1659"/>
      <c r="R9" s="1660"/>
      <c r="S9" s="53"/>
    </row>
    <row r="10" spans="1:19" ht="18.75" x14ac:dyDescent="0.25">
      <c r="A10" s="25" t="s">
        <v>98</v>
      </c>
      <c r="B10" s="184">
        <v>1041</v>
      </c>
      <c r="C10" s="37" t="s">
        <v>174</v>
      </c>
      <c r="D10" s="178" t="s">
        <v>11</v>
      </c>
      <c r="E10" s="47" t="s">
        <v>13</v>
      </c>
      <c r="F10" s="48" t="e">
        <f>VLOOKUP(E10,$X$6:$Y$12,2,FALSE)</f>
        <v>#N/A</v>
      </c>
      <c r="G10" s="1255">
        <v>14</v>
      </c>
      <c r="H10" s="1255">
        <v>14</v>
      </c>
      <c r="I10" s="1255">
        <v>2</v>
      </c>
      <c r="J10" s="1254"/>
      <c r="K10" s="1254"/>
      <c r="L10" s="153"/>
      <c r="M10" s="153"/>
      <c r="N10" s="250"/>
      <c r="O10" s="198">
        <f t="shared" si="0"/>
        <v>298</v>
      </c>
      <c r="P10" s="195">
        <f t="shared" ref="P10:P11" si="3">SUM(G10:N10)</f>
        <v>30</v>
      </c>
      <c r="Q10" s="1659"/>
      <c r="R10" s="1660"/>
      <c r="S10" s="53"/>
    </row>
    <row r="11" spans="1:19" ht="18.75" x14ac:dyDescent="0.25">
      <c r="A11" s="25" t="s">
        <v>98</v>
      </c>
      <c r="B11" s="184">
        <v>2149</v>
      </c>
      <c r="C11" s="37" t="s">
        <v>273</v>
      </c>
      <c r="D11" s="178" t="s">
        <v>61</v>
      </c>
      <c r="E11" s="47" t="s">
        <v>13</v>
      </c>
      <c r="F11" s="48"/>
      <c r="G11" s="1255">
        <v>11</v>
      </c>
      <c r="H11" s="1255">
        <v>15</v>
      </c>
      <c r="I11" s="1255">
        <v>4</v>
      </c>
      <c r="J11" s="1254"/>
      <c r="K11" s="1254"/>
      <c r="L11" s="153"/>
      <c r="M11" s="153"/>
      <c r="N11" s="250"/>
      <c r="O11" s="198">
        <f t="shared" si="0"/>
        <v>296</v>
      </c>
      <c r="P11" s="195">
        <f t="shared" si="3"/>
        <v>30</v>
      </c>
      <c r="Q11" s="1659"/>
      <c r="R11" s="1660"/>
      <c r="S11" s="53"/>
    </row>
    <row r="12" spans="1:19" ht="18.75" x14ac:dyDescent="0.25">
      <c r="A12" s="25" t="s">
        <v>98</v>
      </c>
      <c r="B12" s="45">
        <v>786</v>
      </c>
      <c r="C12" s="71" t="s">
        <v>29</v>
      </c>
      <c r="D12" s="46" t="s">
        <v>10</v>
      </c>
      <c r="E12" s="47" t="s">
        <v>13</v>
      </c>
      <c r="F12" s="48"/>
      <c r="G12" s="1154">
        <v>8</v>
      </c>
      <c r="H12" s="1154">
        <v>15</v>
      </c>
      <c r="I12" s="1154">
        <v>7</v>
      </c>
      <c r="J12" s="1254"/>
      <c r="K12" s="1254"/>
      <c r="L12" s="153"/>
      <c r="M12" s="153"/>
      <c r="N12" s="250"/>
      <c r="O12" s="198">
        <f t="shared" si="0"/>
        <v>293</v>
      </c>
      <c r="P12" s="195">
        <f>SUM(G12:N12)</f>
        <v>30</v>
      </c>
      <c r="Q12" s="1659"/>
      <c r="R12" s="1660"/>
      <c r="S12" s="53" t="str">
        <f>IF(O12=0," ",IF(P12&lt;&gt;30,"ERROR!"," "))</f>
        <v xml:space="preserve"> </v>
      </c>
    </row>
    <row r="13" spans="1:19" ht="19.5" thickBot="1" x14ac:dyDescent="0.3">
      <c r="A13" s="25" t="s">
        <v>98</v>
      </c>
      <c r="B13" s="151">
        <v>1465</v>
      </c>
      <c r="C13" s="71" t="s">
        <v>244</v>
      </c>
      <c r="D13" s="127" t="s">
        <v>12</v>
      </c>
      <c r="E13" s="47" t="s">
        <v>13</v>
      </c>
      <c r="F13" s="48" t="e">
        <f>VLOOKUP(E13,$X$6:$Y$12,2,FALSE)</f>
        <v>#N/A</v>
      </c>
      <c r="G13" s="1254">
        <v>13</v>
      </c>
      <c r="H13" s="1254">
        <v>9</v>
      </c>
      <c r="I13" s="1254">
        <v>8</v>
      </c>
      <c r="J13" s="1254"/>
      <c r="K13" s="1254"/>
      <c r="L13" s="153"/>
      <c r="M13" s="153"/>
      <c r="N13" s="250"/>
      <c r="O13" s="198">
        <f t="shared" si="0"/>
        <v>292</v>
      </c>
      <c r="P13" s="195">
        <f t="shared" si="1"/>
        <v>30</v>
      </c>
      <c r="Q13" s="172"/>
      <c r="R13" s="767"/>
      <c r="S13" s="53" t="str">
        <f>IF(O13=0," ",IF(P13&lt;&gt;30,"ERROR!"," "))</f>
        <v xml:space="preserve"> </v>
      </c>
    </row>
    <row r="14" spans="1:19" ht="19.5" thickBot="1" x14ac:dyDescent="0.3">
      <c r="A14" s="25" t="s">
        <v>98</v>
      </c>
      <c r="B14" s="184">
        <v>1467</v>
      </c>
      <c r="C14" s="37" t="s">
        <v>166</v>
      </c>
      <c r="D14" s="178" t="s">
        <v>10</v>
      </c>
      <c r="E14" s="861" t="s">
        <v>13</v>
      </c>
      <c r="F14" s="40">
        <v>4</v>
      </c>
      <c r="G14" s="1156">
        <v>8</v>
      </c>
      <c r="H14" s="1156">
        <v>14</v>
      </c>
      <c r="I14" s="1156">
        <v>8</v>
      </c>
      <c r="J14" s="1156"/>
      <c r="K14" s="1255"/>
      <c r="L14" s="180"/>
      <c r="M14" s="180"/>
      <c r="N14" s="727"/>
      <c r="O14" s="537">
        <f t="shared" si="0"/>
        <v>292</v>
      </c>
      <c r="P14" s="728">
        <f>SUM(G14:N14)</f>
        <v>30</v>
      </c>
      <c r="Q14" s="33" t="str">
        <f>IF(O14&gt;270,"Yes","NO")</f>
        <v>Yes</v>
      </c>
      <c r="R14" s="767"/>
      <c r="S14" s="169"/>
    </row>
    <row r="15" spans="1:19" ht="18.75" x14ac:dyDescent="0.25">
      <c r="A15" s="25" t="s">
        <v>98</v>
      </c>
      <c r="B15" s="1091">
        <v>1475</v>
      </c>
      <c r="C15" s="61" t="s">
        <v>196</v>
      </c>
      <c r="D15" s="61" t="s">
        <v>10</v>
      </c>
      <c r="E15" s="908" t="s">
        <v>3</v>
      </c>
      <c r="F15" s="1092" t="e">
        <f>VLOOKUP(E15,$X$6:$Y$12,2,FALSE)</f>
        <v>#N/A</v>
      </c>
      <c r="G15" s="1258">
        <v>9</v>
      </c>
      <c r="H15" s="1258">
        <v>17</v>
      </c>
      <c r="I15" s="1258">
        <v>4</v>
      </c>
      <c r="J15" s="1258"/>
      <c r="K15" s="1256"/>
      <c r="L15" s="1257"/>
      <c r="M15" s="1257"/>
      <c r="N15" s="1093"/>
      <c r="O15" s="194">
        <f t="shared" ref="O15:O21" si="4">(G15*10)+(H15*10)+(I15*9)+(J15*8)+(K15*7)+(L15*6)+(M15*5)</f>
        <v>296</v>
      </c>
      <c r="P15" s="245">
        <f t="shared" ref="P15:P17" si="5">SUM(G15:N15)</f>
        <v>30</v>
      </c>
      <c r="Q15" s="162" t="str">
        <f t="shared" ref="Q15:Q17" si="6">IF(O15&gt;297,"Yes","NO")</f>
        <v>NO</v>
      </c>
      <c r="R15" s="171" t="str">
        <f t="shared" ref="R15:R17" si="7">IF(Q15="yes","HM","")</f>
        <v/>
      </c>
      <c r="S15" s="53" t="str">
        <f t="shared" ref="S15:S22" si="8">IF(O15=0," ",IF(P15&lt;&gt;30,"ERROR!"," "))</f>
        <v xml:space="preserve"> </v>
      </c>
    </row>
    <row r="16" spans="1:19" ht="18.75" x14ac:dyDescent="0.25">
      <c r="A16" s="25" t="s">
        <v>98</v>
      </c>
      <c r="B16" s="151">
        <v>1798</v>
      </c>
      <c r="C16" s="71" t="s">
        <v>70</v>
      </c>
      <c r="D16" s="127" t="s">
        <v>7</v>
      </c>
      <c r="E16" s="47" t="s">
        <v>3</v>
      </c>
      <c r="F16" s="48" t="e">
        <f>VLOOKUP(E16,$X$6:$Y$12,2,FALSE)</f>
        <v>#N/A</v>
      </c>
      <c r="G16" s="974">
        <v>11</v>
      </c>
      <c r="H16" s="974">
        <v>13</v>
      </c>
      <c r="I16" s="974">
        <v>6</v>
      </c>
      <c r="J16" s="974"/>
      <c r="K16" s="974"/>
      <c r="L16" s="881"/>
      <c r="M16" s="881"/>
      <c r="N16" s="246"/>
      <c r="O16" s="198">
        <f t="shared" si="4"/>
        <v>294</v>
      </c>
      <c r="P16" s="195">
        <f t="shared" si="5"/>
        <v>30</v>
      </c>
      <c r="Q16" s="162" t="str">
        <f t="shared" si="6"/>
        <v>NO</v>
      </c>
      <c r="R16" s="171" t="str">
        <f t="shared" si="7"/>
        <v/>
      </c>
      <c r="S16" s="53" t="str">
        <f t="shared" si="8"/>
        <v xml:space="preserve"> </v>
      </c>
    </row>
    <row r="17" spans="1:19" ht="18.75" x14ac:dyDescent="0.25">
      <c r="A17" s="25" t="s">
        <v>98</v>
      </c>
      <c r="B17" s="151">
        <v>921</v>
      </c>
      <c r="C17" s="71" t="s">
        <v>193</v>
      </c>
      <c r="D17" s="127" t="s">
        <v>10</v>
      </c>
      <c r="E17" s="47" t="s">
        <v>3</v>
      </c>
      <c r="F17" s="48">
        <v>4</v>
      </c>
      <c r="G17" s="1259">
        <v>9</v>
      </c>
      <c r="H17" s="1259">
        <v>15</v>
      </c>
      <c r="I17" s="1259">
        <v>6</v>
      </c>
      <c r="J17" s="974"/>
      <c r="K17" s="974"/>
      <c r="L17" s="881"/>
      <c r="M17" s="881"/>
      <c r="N17" s="246"/>
      <c r="O17" s="198">
        <f t="shared" si="4"/>
        <v>294</v>
      </c>
      <c r="P17" s="195">
        <f t="shared" si="5"/>
        <v>30</v>
      </c>
      <c r="Q17" s="162" t="str">
        <f t="shared" si="6"/>
        <v>NO</v>
      </c>
      <c r="R17" s="171" t="str">
        <f t="shared" si="7"/>
        <v/>
      </c>
      <c r="S17" s="53" t="str">
        <f t="shared" si="8"/>
        <v xml:space="preserve"> </v>
      </c>
    </row>
    <row r="18" spans="1:19" ht="18.75" x14ac:dyDescent="0.25">
      <c r="A18" s="25" t="s">
        <v>98</v>
      </c>
      <c r="B18" s="151">
        <v>2296</v>
      </c>
      <c r="C18" s="71" t="s">
        <v>218</v>
      </c>
      <c r="D18" s="127" t="s">
        <v>10</v>
      </c>
      <c r="E18" s="47" t="s">
        <v>3</v>
      </c>
      <c r="F18" s="48"/>
      <c r="G18" s="1260">
        <v>8</v>
      </c>
      <c r="H18" s="1260">
        <v>12</v>
      </c>
      <c r="I18" s="1260">
        <v>10</v>
      </c>
      <c r="J18" s="978"/>
      <c r="K18" s="974"/>
      <c r="L18" s="881"/>
      <c r="M18" s="881"/>
      <c r="N18" s="246"/>
      <c r="O18" s="198">
        <f t="shared" si="4"/>
        <v>290</v>
      </c>
      <c r="P18" s="195">
        <f t="shared" ref="P18:P21" si="9">SUM(G18:N18)</f>
        <v>30</v>
      </c>
      <c r="Q18" s="162" t="str">
        <f t="shared" ref="Q18:Q21" si="10">IF(O18&gt;297,"Yes","NO")</f>
        <v>NO</v>
      </c>
      <c r="R18" s="171"/>
      <c r="S18" s="53" t="str">
        <f t="shared" si="8"/>
        <v xml:space="preserve"> </v>
      </c>
    </row>
    <row r="19" spans="1:19" ht="18.75" x14ac:dyDescent="0.25">
      <c r="A19" s="25" t="s">
        <v>98</v>
      </c>
      <c r="B19" s="151">
        <v>1249</v>
      </c>
      <c r="C19" s="71" t="s">
        <v>216</v>
      </c>
      <c r="D19" s="127" t="s">
        <v>10</v>
      </c>
      <c r="E19" s="47" t="s">
        <v>3</v>
      </c>
      <c r="F19" s="48"/>
      <c r="G19" s="1260">
        <v>7</v>
      </c>
      <c r="H19" s="1260">
        <v>13</v>
      </c>
      <c r="I19" s="1260">
        <v>10</v>
      </c>
      <c r="J19" s="978"/>
      <c r="K19" s="974"/>
      <c r="L19" s="881"/>
      <c r="M19" s="881"/>
      <c r="N19" s="246"/>
      <c r="O19" s="198">
        <f t="shared" si="4"/>
        <v>290</v>
      </c>
      <c r="P19" s="195">
        <f t="shared" si="9"/>
        <v>30</v>
      </c>
      <c r="Q19" s="162" t="str">
        <f t="shared" si="10"/>
        <v>NO</v>
      </c>
      <c r="R19" s="171"/>
      <c r="S19" s="53" t="str">
        <f t="shared" si="8"/>
        <v xml:space="preserve"> </v>
      </c>
    </row>
    <row r="20" spans="1:19" ht="18.75" x14ac:dyDescent="0.25">
      <c r="A20" s="25" t="s">
        <v>98</v>
      </c>
      <c r="B20" s="151">
        <v>1477</v>
      </c>
      <c r="C20" s="71" t="s">
        <v>50</v>
      </c>
      <c r="D20" s="127" t="s">
        <v>12</v>
      </c>
      <c r="E20" s="47" t="s">
        <v>3</v>
      </c>
      <c r="F20" s="48" t="e">
        <f>VLOOKUP(E20,$X$6:$Y$12,2,FALSE)</f>
        <v>#N/A</v>
      </c>
      <c r="G20" s="978">
        <v>2</v>
      </c>
      <c r="H20" s="978">
        <v>14</v>
      </c>
      <c r="I20" s="978">
        <v>13</v>
      </c>
      <c r="J20" s="978">
        <v>1</v>
      </c>
      <c r="K20" s="974"/>
      <c r="L20" s="881"/>
      <c r="M20" s="881"/>
      <c r="N20" s="246"/>
      <c r="O20" s="198">
        <f t="shared" si="4"/>
        <v>285</v>
      </c>
      <c r="P20" s="195">
        <f t="shared" si="9"/>
        <v>30</v>
      </c>
      <c r="Q20" s="162" t="str">
        <f t="shared" si="10"/>
        <v>NO</v>
      </c>
      <c r="R20" s="171"/>
      <c r="S20" s="53" t="str">
        <f t="shared" si="8"/>
        <v xml:space="preserve"> </v>
      </c>
    </row>
    <row r="21" spans="1:19" ht="19.5" thickBot="1" x14ac:dyDescent="0.3">
      <c r="A21" s="25" t="s">
        <v>98</v>
      </c>
      <c r="B21" s="151">
        <v>506</v>
      </c>
      <c r="C21" s="71" t="s">
        <v>229</v>
      </c>
      <c r="D21" s="127" t="s">
        <v>8</v>
      </c>
      <c r="E21" s="47" t="s">
        <v>3</v>
      </c>
      <c r="F21" s="48"/>
      <c r="G21" s="1260">
        <v>2</v>
      </c>
      <c r="H21" s="1260">
        <v>10</v>
      </c>
      <c r="I21" s="1260">
        <v>14</v>
      </c>
      <c r="J21" s="978">
        <v>4</v>
      </c>
      <c r="K21" s="974"/>
      <c r="L21" s="881"/>
      <c r="M21" s="881"/>
      <c r="N21" s="246"/>
      <c r="O21" s="198">
        <f t="shared" si="4"/>
        <v>278</v>
      </c>
      <c r="P21" s="195">
        <f t="shared" si="9"/>
        <v>30</v>
      </c>
      <c r="Q21" s="162" t="str">
        <f t="shared" si="10"/>
        <v>NO</v>
      </c>
      <c r="R21" s="171" t="str">
        <f>IF(Q21="yes","M","")</f>
        <v/>
      </c>
      <c r="S21" s="53" t="str">
        <f>IF(O21=0," ",IF(P21&lt;&gt;30,"ERROR!"," "))</f>
        <v xml:space="preserve"> </v>
      </c>
    </row>
    <row r="22" spans="1:19" ht="18.75" x14ac:dyDescent="0.25">
      <c r="A22" s="25" t="s">
        <v>98</v>
      </c>
      <c r="B22" s="161">
        <v>1412</v>
      </c>
      <c r="C22" s="61" t="s">
        <v>167</v>
      </c>
      <c r="D22" s="145" t="s">
        <v>10</v>
      </c>
      <c r="E22" s="28" t="s">
        <v>4</v>
      </c>
      <c r="F22" s="29" t="e">
        <f t="shared" ref="F22:F33" si="11">VLOOKUP(E22,$X$6:$Y$12,2,FALSE)</f>
        <v>#N/A</v>
      </c>
      <c r="G22" s="1265">
        <v>10</v>
      </c>
      <c r="H22" s="1265">
        <v>15</v>
      </c>
      <c r="I22" s="1265">
        <v>4</v>
      </c>
      <c r="J22" s="1265">
        <v>1</v>
      </c>
      <c r="K22" s="1266"/>
      <c r="L22" s="1267"/>
      <c r="M22" s="1267"/>
      <c r="N22" s="1268"/>
      <c r="O22" s="194">
        <f t="shared" ref="O22:O33" si="12">(G22*10)+(H22*10)+(I22*9)+(J22*8)+(K22*7)+(L22*6)+(M22*5)</f>
        <v>294</v>
      </c>
      <c r="P22" s="245">
        <f t="shared" ref="P22" si="13">SUM(G22:N22)</f>
        <v>30</v>
      </c>
      <c r="Q22" s="399" t="str">
        <f>IF(O22&gt;294,"Yes","NO")</f>
        <v>NO</v>
      </c>
      <c r="R22" s="1031" t="str">
        <f>IF(Q22="yes","M","")</f>
        <v/>
      </c>
      <c r="S22" s="742" t="str">
        <f t="shared" si="8"/>
        <v xml:space="preserve"> </v>
      </c>
    </row>
    <row r="23" spans="1:19" ht="18.75" x14ac:dyDescent="0.25">
      <c r="A23" s="25" t="s">
        <v>98</v>
      </c>
      <c r="B23" s="151">
        <v>1799</v>
      </c>
      <c r="C23" s="71" t="s">
        <v>180</v>
      </c>
      <c r="D23" s="127" t="s">
        <v>11</v>
      </c>
      <c r="E23" s="47" t="s">
        <v>4</v>
      </c>
      <c r="F23" s="48" t="e">
        <f t="shared" si="11"/>
        <v>#N/A</v>
      </c>
      <c r="G23" s="1170">
        <v>10</v>
      </c>
      <c r="H23" s="1170">
        <v>14</v>
      </c>
      <c r="I23" s="1170">
        <v>6</v>
      </c>
      <c r="J23" s="1170"/>
      <c r="K23" s="1170"/>
      <c r="L23" s="889"/>
      <c r="M23" s="889"/>
      <c r="N23" s="1269"/>
      <c r="O23" s="198">
        <f t="shared" si="12"/>
        <v>294</v>
      </c>
      <c r="P23" s="195">
        <f t="shared" ref="P23:P30" si="14">SUM(G23:N23)</f>
        <v>30</v>
      </c>
      <c r="Q23" s="162" t="str">
        <f t="shared" ref="Q23:Q33" si="15">IF(O23&gt;294,"Yes","NO")</f>
        <v>NO</v>
      </c>
      <c r="R23" s="171" t="str">
        <f t="shared" ref="R23:R33" si="16">IF(Q23="yes","M","")</f>
        <v/>
      </c>
      <c r="S23" s="53" t="str">
        <f t="shared" ref="S23:S33" si="17">IF(O23=0," ",IF(P23&lt;&gt;30,"ERROR!"," "))</f>
        <v xml:space="preserve"> </v>
      </c>
    </row>
    <row r="24" spans="1:19" ht="18.75" x14ac:dyDescent="0.25">
      <c r="A24" s="25" t="s">
        <v>98</v>
      </c>
      <c r="B24" s="184">
        <v>1901</v>
      </c>
      <c r="C24" s="37" t="s">
        <v>38</v>
      </c>
      <c r="D24" s="178" t="s">
        <v>11</v>
      </c>
      <c r="E24" s="39" t="s">
        <v>4</v>
      </c>
      <c r="F24" s="40" t="e">
        <f t="shared" si="11"/>
        <v>#N/A</v>
      </c>
      <c r="G24" s="1085">
        <v>11</v>
      </c>
      <c r="H24" s="1085">
        <v>13</v>
      </c>
      <c r="I24" s="1085">
        <v>5</v>
      </c>
      <c r="J24" s="1085">
        <v>1</v>
      </c>
      <c r="K24" s="1085"/>
      <c r="L24" s="887"/>
      <c r="M24" s="887"/>
      <c r="N24" s="1270"/>
      <c r="O24" s="198">
        <f t="shared" si="12"/>
        <v>293</v>
      </c>
      <c r="P24" s="195">
        <f t="shared" ref="P24" si="18">SUM(G24:N24)</f>
        <v>30</v>
      </c>
      <c r="Q24" s="162" t="str">
        <f t="shared" ref="Q24" si="19">IF(O24&gt;294,"Yes","NO")</f>
        <v>NO</v>
      </c>
      <c r="R24" s="171"/>
      <c r="S24" s="53"/>
    </row>
    <row r="25" spans="1:19" ht="18.75" x14ac:dyDescent="0.25">
      <c r="A25" s="25" t="s">
        <v>98</v>
      </c>
      <c r="B25" s="184">
        <v>1264</v>
      </c>
      <c r="C25" s="37" t="s">
        <v>149</v>
      </c>
      <c r="D25" s="178" t="s">
        <v>7</v>
      </c>
      <c r="E25" s="39" t="s">
        <v>4</v>
      </c>
      <c r="F25" s="40" t="e">
        <f t="shared" si="11"/>
        <v>#N/A</v>
      </c>
      <c r="G25" s="1085">
        <v>6</v>
      </c>
      <c r="H25" s="1085">
        <v>13</v>
      </c>
      <c r="I25" s="1085">
        <v>9</v>
      </c>
      <c r="J25" s="1085">
        <v>1</v>
      </c>
      <c r="K25" s="1085">
        <v>1</v>
      </c>
      <c r="L25" s="887"/>
      <c r="M25" s="887"/>
      <c r="N25" s="1270"/>
      <c r="O25" s="198">
        <f t="shared" si="12"/>
        <v>286</v>
      </c>
      <c r="P25" s="195">
        <f t="shared" si="14"/>
        <v>30</v>
      </c>
      <c r="Q25" s="162" t="str">
        <f t="shared" si="15"/>
        <v>NO</v>
      </c>
      <c r="R25" s="171" t="str">
        <f t="shared" si="16"/>
        <v/>
      </c>
      <c r="S25" s="53" t="str">
        <f t="shared" si="17"/>
        <v xml:space="preserve"> </v>
      </c>
    </row>
    <row r="26" spans="1:19" ht="18.75" x14ac:dyDescent="0.25">
      <c r="A26" s="25" t="s">
        <v>98</v>
      </c>
      <c r="B26" s="184">
        <v>1767</v>
      </c>
      <c r="C26" s="37" t="s">
        <v>224</v>
      </c>
      <c r="D26" s="178" t="s">
        <v>11</v>
      </c>
      <c r="E26" s="39" t="s">
        <v>4</v>
      </c>
      <c r="F26" s="40" t="e">
        <f t="shared" si="11"/>
        <v>#N/A</v>
      </c>
      <c r="G26" s="1085">
        <v>5</v>
      </c>
      <c r="H26" s="1085">
        <v>13</v>
      </c>
      <c r="I26" s="1085">
        <v>10</v>
      </c>
      <c r="J26" s="1085">
        <v>1</v>
      </c>
      <c r="K26" s="1085"/>
      <c r="L26" s="887">
        <v>1</v>
      </c>
      <c r="M26" s="887"/>
      <c r="N26" s="1270"/>
      <c r="O26" s="198">
        <f t="shared" si="12"/>
        <v>284</v>
      </c>
      <c r="P26" s="195">
        <f t="shared" ref="P26" si="20">SUM(G26:N26)</f>
        <v>30</v>
      </c>
      <c r="Q26" s="162" t="str">
        <f t="shared" ref="Q26" si="21">IF(O26&gt;294,"Yes","NO")</f>
        <v>NO</v>
      </c>
      <c r="R26" s="171"/>
      <c r="S26" s="53"/>
    </row>
    <row r="27" spans="1:19" ht="18.75" x14ac:dyDescent="0.25">
      <c r="A27" s="25" t="s">
        <v>98</v>
      </c>
      <c r="B27" s="151">
        <v>1956</v>
      </c>
      <c r="C27" s="71" t="s">
        <v>49</v>
      </c>
      <c r="D27" s="127" t="s">
        <v>10</v>
      </c>
      <c r="E27" s="47" t="s">
        <v>4</v>
      </c>
      <c r="F27" s="48" t="e">
        <f t="shared" si="11"/>
        <v>#N/A</v>
      </c>
      <c r="G27" s="1155">
        <v>2</v>
      </c>
      <c r="H27" s="1155">
        <v>10</v>
      </c>
      <c r="I27" s="1155">
        <v>17</v>
      </c>
      <c r="J27" s="1155">
        <v>1</v>
      </c>
      <c r="K27" s="1170"/>
      <c r="L27" s="889"/>
      <c r="M27" s="889"/>
      <c r="N27" s="1264"/>
      <c r="O27" s="198">
        <f t="shared" si="12"/>
        <v>281</v>
      </c>
      <c r="P27" s="195">
        <f t="shared" si="14"/>
        <v>30</v>
      </c>
      <c r="Q27" s="162" t="str">
        <f t="shared" si="15"/>
        <v>NO</v>
      </c>
      <c r="R27" s="171" t="str">
        <f t="shared" si="16"/>
        <v/>
      </c>
      <c r="S27" s="53" t="str">
        <f t="shared" si="17"/>
        <v xml:space="preserve"> </v>
      </c>
    </row>
    <row r="28" spans="1:19" ht="18.75" x14ac:dyDescent="0.25">
      <c r="A28" s="248" t="s">
        <v>98</v>
      </c>
      <c r="B28" s="151">
        <v>2144</v>
      </c>
      <c r="C28" s="71" t="s">
        <v>245</v>
      </c>
      <c r="D28" s="127" t="s">
        <v>12</v>
      </c>
      <c r="E28" s="47" t="s">
        <v>4</v>
      </c>
      <c r="F28" s="48" t="e">
        <f t="shared" si="11"/>
        <v>#N/A</v>
      </c>
      <c r="G28" s="1170">
        <v>4</v>
      </c>
      <c r="H28" s="1170">
        <v>5</v>
      </c>
      <c r="I28" s="1170">
        <v>15</v>
      </c>
      <c r="J28" s="1170">
        <v>6</v>
      </c>
      <c r="K28" s="1170"/>
      <c r="L28" s="889"/>
      <c r="M28" s="889"/>
      <c r="N28" s="1264"/>
      <c r="O28" s="198">
        <f t="shared" si="12"/>
        <v>273</v>
      </c>
      <c r="P28" s="249">
        <f t="shared" si="14"/>
        <v>30</v>
      </c>
      <c r="Q28" s="162" t="str">
        <f t="shared" si="15"/>
        <v>NO</v>
      </c>
      <c r="R28" s="171" t="str">
        <f t="shared" si="16"/>
        <v/>
      </c>
      <c r="S28" s="53" t="str">
        <f t="shared" si="17"/>
        <v xml:space="preserve"> </v>
      </c>
    </row>
    <row r="29" spans="1:19" ht="18.75" x14ac:dyDescent="0.25">
      <c r="A29" s="248" t="s">
        <v>98</v>
      </c>
      <c r="B29" s="151">
        <v>1268</v>
      </c>
      <c r="C29" s="71" t="s">
        <v>168</v>
      </c>
      <c r="D29" s="127" t="s">
        <v>8</v>
      </c>
      <c r="E29" s="47" t="s">
        <v>4</v>
      </c>
      <c r="F29" s="48" t="e">
        <f t="shared" si="11"/>
        <v>#N/A</v>
      </c>
      <c r="G29" s="1170">
        <v>5</v>
      </c>
      <c r="H29" s="1170">
        <v>6</v>
      </c>
      <c r="I29" s="1170">
        <v>13</v>
      </c>
      <c r="J29" s="1170">
        <v>3</v>
      </c>
      <c r="K29" s="1170">
        <v>3</v>
      </c>
      <c r="L29" s="889"/>
      <c r="M29" s="889"/>
      <c r="N29" s="1264"/>
      <c r="O29" s="198">
        <f t="shared" si="12"/>
        <v>272</v>
      </c>
      <c r="P29" s="249">
        <f t="shared" si="14"/>
        <v>30</v>
      </c>
      <c r="Q29" s="162" t="str">
        <f t="shared" si="15"/>
        <v>NO</v>
      </c>
      <c r="R29" s="171" t="str">
        <f t="shared" si="16"/>
        <v/>
      </c>
      <c r="S29" s="53" t="str">
        <f t="shared" si="17"/>
        <v xml:space="preserve"> </v>
      </c>
    </row>
    <row r="30" spans="1:19" ht="18.75" x14ac:dyDescent="0.25">
      <c r="A30" s="25" t="s">
        <v>98</v>
      </c>
      <c r="B30" s="186">
        <v>1580</v>
      </c>
      <c r="C30" s="116" t="s">
        <v>76</v>
      </c>
      <c r="D30" s="187" t="s">
        <v>12</v>
      </c>
      <c r="E30" s="100" t="s">
        <v>4</v>
      </c>
      <c r="F30" s="101" t="e">
        <f t="shared" si="11"/>
        <v>#N/A</v>
      </c>
      <c r="G30" s="978">
        <v>3</v>
      </c>
      <c r="H30" s="978">
        <v>6</v>
      </c>
      <c r="I30" s="978">
        <v>9</v>
      </c>
      <c r="J30" s="978">
        <v>9</v>
      </c>
      <c r="K30" s="1583">
        <v>2</v>
      </c>
      <c r="L30" s="991">
        <v>1</v>
      </c>
      <c r="M30" s="991"/>
      <c r="N30" s="1584"/>
      <c r="O30" s="198">
        <f t="shared" si="12"/>
        <v>263</v>
      </c>
      <c r="P30" s="195">
        <f t="shared" si="14"/>
        <v>30</v>
      </c>
      <c r="Q30" s="162" t="str">
        <f t="shared" si="15"/>
        <v>NO</v>
      </c>
      <c r="R30" s="171" t="str">
        <f t="shared" si="16"/>
        <v/>
      </c>
      <c r="S30" s="53" t="str">
        <f t="shared" si="17"/>
        <v xml:space="preserve"> </v>
      </c>
    </row>
    <row r="31" spans="1:19" ht="18.75" x14ac:dyDescent="0.25">
      <c r="A31" s="25" t="s">
        <v>98</v>
      </c>
      <c r="B31" s="151">
        <v>2499</v>
      </c>
      <c r="C31" s="71" t="s">
        <v>272</v>
      </c>
      <c r="D31" s="127" t="s">
        <v>12</v>
      </c>
      <c r="E31" s="47" t="s">
        <v>4</v>
      </c>
      <c r="F31" s="48" t="e">
        <f t="shared" si="11"/>
        <v>#N/A</v>
      </c>
      <c r="G31" s="974">
        <v>0</v>
      </c>
      <c r="H31" s="974">
        <v>6</v>
      </c>
      <c r="I31" s="974">
        <v>12</v>
      </c>
      <c r="J31" s="974">
        <v>8</v>
      </c>
      <c r="K31" s="974">
        <v>3</v>
      </c>
      <c r="L31" s="881">
        <v>1</v>
      </c>
      <c r="M31" s="881"/>
      <c r="N31" s="1585"/>
      <c r="O31" s="198">
        <f t="shared" si="12"/>
        <v>259</v>
      </c>
      <c r="P31" s="195">
        <f t="shared" si="1"/>
        <v>30</v>
      </c>
      <c r="Q31" s="162" t="str">
        <f t="shared" si="15"/>
        <v>NO</v>
      </c>
      <c r="R31" s="171" t="str">
        <f t="shared" si="16"/>
        <v/>
      </c>
      <c r="S31" s="53" t="str">
        <f t="shared" si="17"/>
        <v xml:space="preserve"> </v>
      </c>
    </row>
    <row r="32" spans="1:19" ht="18.75" x14ac:dyDescent="0.25">
      <c r="A32" s="25" t="s">
        <v>98</v>
      </c>
      <c r="B32" s="151">
        <v>638</v>
      </c>
      <c r="C32" s="71" t="s">
        <v>199</v>
      </c>
      <c r="D32" s="127" t="s">
        <v>12</v>
      </c>
      <c r="E32" s="47" t="s">
        <v>4</v>
      </c>
      <c r="F32" s="48" t="e">
        <f t="shared" si="11"/>
        <v>#N/A</v>
      </c>
      <c r="G32" s="974">
        <v>1</v>
      </c>
      <c r="H32" s="974">
        <v>4</v>
      </c>
      <c r="I32" s="974">
        <v>15</v>
      </c>
      <c r="J32" s="974">
        <v>7</v>
      </c>
      <c r="K32" s="974">
        <v>0</v>
      </c>
      <c r="L32" s="881">
        <v>2</v>
      </c>
      <c r="M32" s="881">
        <v>0</v>
      </c>
      <c r="N32" s="1585">
        <v>1</v>
      </c>
      <c r="O32" s="198">
        <f t="shared" si="12"/>
        <v>253</v>
      </c>
      <c r="P32" s="195">
        <f t="shared" ref="P32" si="22">SUM(G32:N32)</f>
        <v>30</v>
      </c>
      <c r="Q32" s="162" t="str">
        <f t="shared" ref="Q32" si="23">IF(O32&gt;294,"Yes","NO")</f>
        <v>NO</v>
      </c>
      <c r="R32" s="171"/>
      <c r="S32" s="53"/>
    </row>
    <row r="33" spans="1:28" ht="19.5" thickBot="1" x14ac:dyDescent="0.3">
      <c r="A33" s="25" t="s">
        <v>98</v>
      </c>
      <c r="B33" s="186">
        <v>1629</v>
      </c>
      <c r="C33" s="116" t="s">
        <v>226</v>
      </c>
      <c r="D33" s="187" t="s">
        <v>11</v>
      </c>
      <c r="E33" s="100" t="s">
        <v>4</v>
      </c>
      <c r="F33" s="101" t="e">
        <f t="shared" si="11"/>
        <v>#N/A</v>
      </c>
      <c r="G33" s="1583">
        <v>0</v>
      </c>
      <c r="H33" s="1583">
        <v>8</v>
      </c>
      <c r="I33" s="1583">
        <v>9</v>
      </c>
      <c r="J33" s="1583">
        <v>6</v>
      </c>
      <c r="K33" s="1583">
        <v>4</v>
      </c>
      <c r="L33" s="991">
        <v>2</v>
      </c>
      <c r="M33" s="991"/>
      <c r="N33" s="1586">
        <v>1</v>
      </c>
      <c r="O33" s="585">
        <f t="shared" si="12"/>
        <v>249</v>
      </c>
      <c r="P33" s="1348">
        <f t="shared" si="1"/>
        <v>30</v>
      </c>
      <c r="Q33" s="166" t="str">
        <f t="shared" si="15"/>
        <v>NO</v>
      </c>
      <c r="R33" s="167" t="str">
        <f t="shared" si="16"/>
        <v/>
      </c>
      <c r="S33" s="60" t="str">
        <f t="shared" si="17"/>
        <v xml:space="preserve"> </v>
      </c>
    </row>
    <row r="34" spans="1:28" ht="18.75" x14ac:dyDescent="0.25">
      <c r="A34" s="25" t="s">
        <v>98</v>
      </c>
      <c r="B34" s="201">
        <v>2035</v>
      </c>
      <c r="C34" s="542" t="s">
        <v>222</v>
      </c>
      <c r="D34" s="19" t="s">
        <v>11</v>
      </c>
      <c r="E34" s="83" t="s">
        <v>6</v>
      </c>
      <c r="F34" s="80" t="e">
        <f t="shared" ref="F34:F59" si="24">VLOOKUP(E34,$X$6:$Y$12,2,FALSE)</f>
        <v>#N/A</v>
      </c>
      <c r="G34" s="1266">
        <v>10</v>
      </c>
      <c r="H34" s="1266">
        <v>11</v>
      </c>
      <c r="I34" s="1266">
        <v>7</v>
      </c>
      <c r="J34" s="1266">
        <v>2</v>
      </c>
      <c r="K34" s="1570"/>
      <c r="L34" s="1571"/>
      <c r="M34" s="1571"/>
      <c r="N34" s="1572"/>
      <c r="O34" s="194">
        <f t="shared" ref="O34:O59" si="25">(G34*10)+(H34*10)+(I34*9)+(J34*8)+(K34*7)+(L34*6)+(M34*5)</f>
        <v>289</v>
      </c>
      <c r="P34" s="1531">
        <f t="shared" ref="P34" si="26">SUM(G34:N34)</f>
        <v>30</v>
      </c>
      <c r="Q34" s="399" t="str">
        <f t="shared" ref="Q34:Q46" si="27">IF(O34&gt;284,"Yes","NO")</f>
        <v>Yes</v>
      </c>
      <c r="R34" s="1066" t="str">
        <f t="shared" ref="R34:R42" si="28">IF(Q34="yes","G","")</f>
        <v>G</v>
      </c>
      <c r="S34" s="742" t="str">
        <f t="shared" ref="S34:S42" si="29">IF(O34=0," ",IF(P34&lt;&gt;30,"ERROR!"," "))</f>
        <v xml:space="preserve"> </v>
      </c>
    </row>
    <row r="35" spans="1:28" ht="18.75" x14ac:dyDescent="0.25">
      <c r="A35" s="25" t="s">
        <v>98</v>
      </c>
      <c r="B35" s="151">
        <v>709</v>
      </c>
      <c r="C35" s="71" t="s">
        <v>208</v>
      </c>
      <c r="D35" s="127" t="s">
        <v>8</v>
      </c>
      <c r="E35" s="47" t="s">
        <v>6</v>
      </c>
      <c r="F35" s="48" t="e">
        <f t="shared" si="24"/>
        <v>#N/A</v>
      </c>
      <c r="G35" s="1573">
        <v>8</v>
      </c>
      <c r="H35" s="1573">
        <v>9</v>
      </c>
      <c r="I35" s="1573">
        <v>12</v>
      </c>
      <c r="J35" s="1573">
        <v>1</v>
      </c>
      <c r="K35" s="1154"/>
      <c r="L35" s="1154"/>
      <c r="M35" s="1574"/>
      <c r="N35" s="1575"/>
      <c r="O35" s="537">
        <f t="shared" si="25"/>
        <v>286</v>
      </c>
      <c r="P35" s="728">
        <f>SUM(G35:N35)</f>
        <v>30</v>
      </c>
      <c r="Q35" s="162" t="str">
        <f t="shared" si="27"/>
        <v>Yes</v>
      </c>
      <c r="R35" s="669" t="str">
        <f t="shared" si="28"/>
        <v>G</v>
      </c>
      <c r="S35" s="62" t="str">
        <f>IF(O35=0," ",IF(P35&lt;&gt;30,"ERROR!"," "))</f>
        <v xml:space="preserve"> </v>
      </c>
    </row>
    <row r="36" spans="1:28" ht="18.75" x14ac:dyDescent="0.25">
      <c r="A36" s="25" t="s">
        <v>98</v>
      </c>
      <c r="B36" s="186">
        <v>1052</v>
      </c>
      <c r="C36" s="116" t="s">
        <v>209</v>
      </c>
      <c r="D36" s="187" t="s">
        <v>8</v>
      </c>
      <c r="E36" s="100" t="s">
        <v>6</v>
      </c>
      <c r="F36" s="101" t="e">
        <f t="shared" si="24"/>
        <v>#N/A</v>
      </c>
      <c r="G36" s="1573">
        <v>4</v>
      </c>
      <c r="H36" s="1573">
        <v>14</v>
      </c>
      <c r="I36" s="1573">
        <v>9</v>
      </c>
      <c r="J36" s="1573">
        <v>3</v>
      </c>
      <c r="K36" s="1576"/>
      <c r="L36" s="1577"/>
      <c r="M36" s="1577"/>
      <c r="N36" s="1578"/>
      <c r="O36" s="198">
        <f t="shared" si="25"/>
        <v>285</v>
      </c>
      <c r="P36" s="572">
        <f t="shared" ref="P36:P39" si="30">SUM(G36:N36)</f>
        <v>30</v>
      </c>
      <c r="Q36" s="162" t="str">
        <f t="shared" si="27"/>
        <v>Yes</v>
      </c>
      <c r="R36" s="669" t="str">
        <f t="shared" si="28"/>
        <v>G</v>
      </c>
      <c r="S36" s="53" t="str">
        <f t="shared" si="29"/>
        <v xml:space="preserve"> </v>
      </c>
    </row>
    <row r="37" spans="1:28" ht="18.75" x14ac:dyDescent="0.25">
      <c r="A37" s="25" t="s">
        <v>98</v>
      </c>
      <c r="B37" s="186">
        <v>1982</v>
      </c>
      <c r="C37" s="116" t="s">
        <v>87</v>
      </c>
      <c r="D37" s="187" t="s">
        <v>12</v>
      </c>
      <c r="E37" s="100" t="s">
        <v>6</v>
      </c>
      <c r="F37" s="101" t="e">
        <f t="shared" si="24"/>
        <v>#N/A</v>
      </c>
      <c r="G37" s="1579">
        <v>5</v>
      </c>
      <c r="H37" s="1579">
        <v>11</v>
      </c>
      <c r="I37" s="1579">
        <v>13</v>
      </c>
      <c r="J37" s="1579">
        <v>0</v>
      </c>
      <c r="K37" s="1573">
        <v>1</v>
      </c>
      <c r="L37" s="1574"/>
      <c r="M37" s="1577"/>
      <c r="N37" s="1578"/>
      <c r="O37" s="198">
        <f t="shared" si="25"/>
        <v>284</v>
      </c>
      <c r="P37" s="572">
        <f t="shared" si="30"/>
        <v>30</v>
      </c>
      <c r="Q37" s="162" t="str">
        <f t="shared" si="27"/>
        <v>NO</v>
      </c>
      <c r="R37" s="669" t="str">
        <f t="shared" si="28"/>
        <v/>
      </c>
      <c r="S37" s="53" t="str">
        <f t="shared" si="29"/>
        <v xml:space="preserve"> </v>
      </c>
    </row>
    <row r="38" spans="1:28" ht="18.75" x14ac:dyDescent="0.3">
      <c r="A38" s="25" t="s">
        <v>98</v>
      </c>
      <c r="B38" s="151">
        <v>1850</v>
      </c>
      <c r="C38" s="71" t="s">
        <v>243</v>
      </c>
      <c r="D38" s="127" t="s">
        <v>8</v>
      </c>
      <c r="E38" s="47" t="s">
        <v>6</v>
      </c>
      <c r="F38" s="48" t="e">
        <f t="shared" si="24"/>
        <v>#N/A</v>
      </c>
      <c r="G38" s="1255">
        <v>4</v>
      </c>
      <c r="H38" s="1255">
        <v>12</v>
      </c>
      <c r="I38" s="1255">
        <v>12</v>
      </c>
      <c r="J38" s="1255">
        <v>2</v>
      </c>
      <c r="K38" s="1255"/>
      <c r="L38" s="1263"/>
      <c r="M38" s="1261"/>
      <c r="N38" s="1262"/>
      <c r="O38" s="198">
        <f t="shared" si="25"/>
        <v>284</v>
      </c>
      <c r="P38" s="572">
        <f t="shared" si="30"/>
        <v>30</v>
      </c>
      <c r="Q38" s="162" t="str">
        <f t="shared" si="27"/>
        <v>NO</v>
      </c>
      <c r="R38" s="669" t="str">
        <f t="shared" si="28"/>
        <v/>
      </c>
      <c r="S38" s="53" t="str">
        <f t="shared" si="29"/>
        <v xml:space="preserve"> </v>
      </c>
    </row>
    <row r="39" spans="1:28" ht="18.75" x14ac:dyDescent="0.25">
      <c r="A39" s="25" t="s">
        <v>98</v>
      </c>
      <c r="B39" s="151">
        <v>2040</v>
      </c>
      <c r="C39" s="71" t="s">
        <v>210</v>
      </c>
      <c r="D39" s="127" t="s">
        <v>11</v>
      </c>
      <c r="E39" s="47" t="s">
        <v>6</v>
      </c>
      <c r="F39" s="48" t="e">
        <f t="shared" si="24"/>
        <v>#N/A</v>
      </c>
      <c r="G39" s="1579">
        <v>3</v>
      </c>
      <c r="H39" s="1579">
        <v>14</v>
      </c>
      <c r="I39" s="1579">
        <v>10</v>
      </c>
      <c r="J39" s="1579">
        <v>3</v>
      </c>
      <c r="K39" s="1579"/>
      <c r="L39" s="1580"/>
      <c r="M39" s="1574"/>
      <c r="N39" s="1575"/>
      <c r="O39" s="198">
        <f t="shared" si="25"/>
        <v>284</v>
      </c>
      <c r="P39" s="572">
        <f t="shared" si="30"/>
        <v>30</v>
      </c>
      <c r="Q39" s="162" t="str">
        <f t="shared" si="27"/>
        <v>NO</v>
      </c>
      <c r="R39" s="669" t="str">
        <f t="shared" si="28"/>
        <v/>
      </c>
      <c r="S39" s="53" t="str">
        <f t="shared" si="29"/>
        <v xml:space="preserve"> </v>
      </c>
      <c r="U39" s="1068"/>
      <c r="V39" s="1068"/>
      <c r="W39" s="1068"/>
      <c r="X39" s="1068"/>
      <c r="Y39" s="1068"/>
      <c r="Z39" s="1068"/>
      <c r="AA39" s="1068"/>
      <c r="AB39" s="1068"/>
    </row>
    <row r="40" spans="1:28" ht="18.75" x14ac:dyDescent="0.25">
      <c r="A40" s="25" t="s">
        <v>98</v>
      </c>
      <c r="B40" s="186">
        <v>1225</v>
      </c>
      <c r="C40" s="116" t="s">
        <v>183</v>
      </c>
      <c r="D40" s="187" t="s">
        <v>12</v>
      </c>
      <c r="E40" s="100" t="s">
        <v>6</v>
      </c>
      <c r="F40" s="101" t="e">
        <f t="shared" si="24"/>
        <v>#N/A</v>
      </c>
      <c r="G40" s="1573">
        <v>5</v>
      </c>
      <c r="H40" s="1573">
        <v>4</v>
      </c>
      <c r="I40" s="1573">
        <v>17</v>
      </c>
      <c r="J40" s="1573">
        <v>4</v>
      </c>
      <c r="K40" s="1573"/>
      <c r="L40" s="1574"/>
      <c r="M40" s="1574"/>
      <c r="N40" s="1581"/>
      <c r="O40" s="198">
        <f t="shared" si="25"/>
        <v>275</v>
      </c>
      <c r="P40" s="572">
        <f t="shared" ref="P40:P45" si="31">SUM(G40:N40)</f>
        <v>30</v>
      </c>
      <c r="Q40" s="70" t="str">
        <f t="shared" ref="Q40:Q45" si="32">IF(O40&gt;284,"Yes","NO")</f>
        <v>NO</v>
      </c>
      <c r="R40" s="669"/>
      <c r="S40" s="53"/>
      <c r="U40" s="1068"/>
      <c r="V40" s="1068"/>
      <c r="W40" s="1068"/>
      <c r="X40" s="1068"/>
      <c r="Y40" s="1068"/>
      <c r="Z40" s="1068"/>
      <c r="AA40" s="1068"/>
      <c r="AB40" s="1068"/>
    </row>
    <row r="41" spans="1:28" ht="18.75" x14ac:dyDescent="0.25">
      <c r="A41" s="25" t="s">
        <v>98</v>
      </c>
      <c r="B41" s="186">
        <v>1853</v>
      </c>
      <c r="C41" s="116" t="s">
        <v>40</v>
      </c>
      <c r="D41" s="187" t="s">
        <v>11</v>
      </c>
      <c r="E41" s="100" t="s">
        <v>6</v>
      </c>
      <c r="F41" s="101" t="e">
        <f t="shared" si="24"/>
        <v>#N/A</v>
      </c>
      <c r="G41" s="1576">
        <v>2</v>
      </c>
      <c r="H41" s="1576">
        <v>9</v>
      </c>
      <c r="I41" s="1576">
        <v>13</v>
      </c>
      <c r="J41" s="1576">
        <v>3</v>
      </c>
      <c r="K41" s="1576">
        <v>3</v>
      </c>
      <c r="L41" s="1577">
        <v>0</v>
      </c>
      <c r="M41" s="1577"/>
      <c r="N41" s="1578"/>
      <c r="O41" s="198">
        <f t="shared" si="25"/>
        <v>272</v>
      </c>
      <c r="P41" s="572">
        <f t="shared" si="31"/>
        <v>30</v>
      </c>
      <c r="Q41" s="70" t="str">
        <f t="shared" si="32"/>
        <v>NO</v>
      </c>
      <c r="R41" s="669" t="str">
        <f t="shared" si="28"/>
        <v/>
      </c>
      <c r="S41" s="53" t="str">
        <f t="shared" si="29"/>
        <v xml:space="preserve"> </v>
      </c>
    </row>
    <row r="42" spans="1:28" ht="18.75" x14ac:dyDescent="0.25">
      <c r="A42" s="25" t="s">
        <v>98</v>
      </c>
      <c r="B42" s="151">
        <v>2578</v>
      </c>
      <c r="C42" s="71" t="s">
        <v>194</v>
      </c>
      <c r="D42" s="127" t="s">
        <v>10</v>
      </c>
      <c r="E42" s="47" t="s">
        <v>6</v>
      </c>
      <c r="F42" s="48" t="e">
        <f t="shared" si="24"/>
        <v>#N/A</v>
      </c>
      <c r="G42" s="1154">
        <v>2</v>
      </c>
      <c r="H42" s="1154">
        <v>8</v>
      </c>
      <c r="I42" s="1154">
        <v>8</v>
      </c>
      <c r="J42" s="1154">
        <v>7</v>
      </c>
      <c r="K42" s="1154">
        <v>4</v>
      </c>
      <c r="L42" s="1154">
        <v>1</v>
      </c>
      <c r="M42" s="1574"/>
      <c r="N42" s="1581"/>
      <c r="O42" s="198">
        <f t="shared" si="25"/>
        <v>262</v>
      </c>
      <c r="P42" s="572">
        <f t="shared" si="31"/>
        <v>30</v>
      </c>
      <c r="Q42" s="70" t="str">
        <f t="shared" si="32"/>
        <v>NO</v>
      </c>
      <c r="R42" s="669" t="str">
        <f t="shared" si="28"/>
        <v/>
      </c>
      <c r="S42" s="53" t="str">
        <f t="shared" si="29"/>
        <v xml:space="preserve"> </v>
      </c>
    </row>
    <row r="43" spans="1:28" ht="18.75" x14ac:dyDescent="0.25">
      <c r="A43" s="25" t="s">
        <v>98</v>
      </c>
      <c r="B43" s="151">
        <v>1723</v>
      </c>
      <c r="C43" s="71" t="s">
        <v>84</v>
      </c>
      <c r="D43" s="127" t="s">
        <v>12</v>
      </c>
      <c r="E43" s="47" t="s">
        <v>6</v>
      </c>
      <c r="F43" s="48" t="e">
        <f t="shared" si="24"/>
        <v>#N/A</v>
      </c>
      <c r="G43" s="1573">
        <v>2</v>
      </c>
      <c r="H43" s="1573">
        <v>5</v>
      </c>
      <c r="I43" s="1573">
        <v>13</v>
      </c>
      <c r="J43" s="1573">
        <v>5</v>
      </c>
      <c r="K43" s="1573">
        <v>4</v>
      </c>
      <c r="L43" s="1574">
        <v>1</v>
      </c>
      <c r="M43" s="1574"/>
      <c r="N43" s="1581"/>
      <c r="O43" s="198">
        <f t="shared" si="25"/>
        <v>261</v>
      </c>
      <c r="P43" s="572">
        <f t="shared" ref="P43" si="33">SUM(G43:N43)</f>
        <v>30</v>
      </c>
      <c r="Q43" s="70" t="str">
        <f t="shared" ref="Q43" si="34">IF(O43&gt;284,"Yes","NO")</f>
        <v>NO</v>
      </c>
      <c r="R43" s="669"/>
      <c r="S43" s="53"/>
    </row>
    <row r="44" spans="1:28" ht="18.75" x14ac:dyDescent="0.25">
      <c r="A44" s="25" t="s">
        <v>98</v>
      </c>
      <c r="B44" s="151">
        <v>1615</v>
      </c>
      <c r="C44" s="71" t="s">
        <v>185</v>
      </c>
      <c r="D44" s="127" t="s">
        <v>12</v>
      </c>
      <c r="E44" s="47" t="s">
        <v>6</v>
      </c>
      <c r="F44" s="48" t="e">
        <f t="shared" si="24"/>
        <v>#N/A</v>
      </c>
      <c r="G44" s="1573">
        <v>1</v>
      </c>
      <c r="H44" s="1573">
        <v>2</v>
      </c>
      <c r="I44" s="1573">
        <v>16</v>
      </c>
      <c r="J44" s="1573">
        <v>5</v>
      </c>
      <c r="K44" s="1573">
        <v>5</v>
      </c>
      <c r="L44" s="1574">
        <v>1</v>
      </c>
      <c r="M44" s="1574"/>
      <c r="N44" s="1575"/>
      <c r="O44" s="198">
        <f t="shared" si="25"/>
        <v>255</v>
      </c>
      <c r="P44" s="572">
        <f t="shared" si="31"/>
        <v>30</v>
      </c>
      <c r="Q44" s="70" t="str">
        <f t="shared" si="32"/>
        <v>NO</v>
      </c>
      <c r="R44" s="669" t="str">
        <f>IF(Q44="yes","M","")</f>
        <v/>
      </c>
      <c r="S44" s="53" t="str">
        <f>IF(O44=0," ",IF(P44&lt;&gt;30,"ERROR!"," "))</f>
        <v xml:space="preserve"> </v>
      </c>
    </row>
    <row r="45" spans="1:28" ht="18.75" x14ac:dyDescent="0.25">
      <c r="A45" s="25" t="s">
        <v>98</v>
      </c>
      <c r="B45" s="186">
        <v>1983</v>
      </c>
      <c r="C45" s="116" t="s">
        <v>77</v>
      </c>
      <c r="D45" s="187" t="s">
        <v>12</v>
      </c>
      <c r="E45" s="100" t="s">
        <v>6</v>
      </c>
      <c r="F45" s="101" t="e">
        <f t="shared" si="24"/>
        <v>#N/A</v>
      </c>
      <c r="G45" s="1576">
        <v>1</v>
      </c>
      <c r="H45" s="1576">
        <v>3</v>
      </c>
      <c r="I45" s="1576">
        <v>12</v>
      </c>
      <c r="J45" s="1576">
        <v>8</v>
      </c>
      <c r="K45" s="1576">
        <v>4</v>
      </c>
      <c r="L45" s="1577">
        <v>1</v>
      </c>
      <c r="M45" s="1577"/>
      <c r="N45" s="1582">
        <v>1</v>
      </c>
      <c r="O45" s="585">
        <f t="shared" si="25"/>
        <v>246</v>
      </c>
      <c r="P45" s="1565">
        <f t="shared" si="31"/>
        <v>30</v>
      </c>
      <c r="Q45" s="1566" t="str">
        <f t="shared" si="32"/>
        <v>NO</v>
      </c>
      <c r="R45" s="1567" t="str">
        <f t="shared" ref="R45" si="35">IF(Q45="yes","M","")</f>
        <v/>
      </c>
      <c r="S45" s="60" t="str">
        <f t="shared" ref="S45" si="36">IF(O45=0," ",IF(P45&lt;&gt;30,"ERROR!"," "))</f>
        <v xml:space="preserve"> </v>
      </c>
    </row>
    <row r="46" spans="1:28" ht="19.5" thickBot="1" x14ac:dyDescent="0.3">
      <c r="A46" s="25" t="s">
        <v>98</v>
      </c>
      <c r="B46" s="186">
        <v>1726</v>
      </c>
      <c r="C46" s="116" t="s">
        <v>83</v>
      </c>
      <c r="D46" s="187" t="s">
        <v>12</v>
      </c>
      <c r="E46" s="100" t="s">
        <v>6</v>
      </c>
      <c r="F46" s="101" t="e">
        <f t="shared" si="24"/>
        <v>#N/A</v>
      </c>
      <c r="G46" s="1576">
        <v>1</v>
      </c>
      <c r="H46" s="1576">
        <v>5</v>
      </c>
      <c r="I46" s="1576">
        <v>10</v>
      </c>
      <c r="J46" s="1576">
        <v>11</v>
      </c>
      <c r="K46" s="1576"/>
      <c r="L46" s="1577"/>
      <c r="M46" s="1577"/>
      <c r="N46" s="1578">
        <v>3</v>
      </c>
      <c r="O46" s="585">
        <f t="shared" si="25"/>
        <v>238</v>
      </c>
      <c r="P46" s="1534">
        <f t="shared" ref="P46:P58" si="37">SUM(G46:N46)</f>
        <v>30</v>
      </c>
      <c r="Q46" s="1566" t="str">
        <f t="shared" si="27"/>
        <v>NO</v>
      </c>
      <c r="R46" s="1074" t="str">
        <f>IF(Q46="yes","M","")</f>
        <v/>
      </c>
      <c r="S46" s="60" t="str">
        <f t="shared" ref="S46:S52" si="38">IF(O46=0," ",IF(P46&lt;&gt;30,"ERROR!"," "))</f>
        <v xml:space="preserve"> </v>
      </c>
    </row>
    <row r="47" spans="1:28" ht="18.75" x14ac:dyDescent="0.25">
      <c r="A47" s="25" t="s">
        <v>98</v>
      </c>
      <c r="B47" s="161">
        <v>1764</v>
      </c>
      <c r="C47" s="61" t="s">
        <v>253</v>
      </c>
      <c r="D47" s="145" t="s">
        <v>12</v>
      </c>
      <c r="E47" s="28" t="s">
        <v>5</v>
      </c>
      <c r="F47" s="29" t="e">
        <f t="shared" si="24"/>
        <v>#N/A</v>
      </c>
      <c r="G47" s="1568">
        <v>3</v>
      </c>
      <c r="H47" s="1568">
        <v>8</v>
      </c>
      <c r="I47" s="1568">
        <v>11</v>
      </c>
      <c r="J47" s="1568">
        <v>6</v>
      </c>
      <c r="K47" s="1568">
        <v>2</v>
      </c>
      <c r="L47" s="1568"/>
      <c r="M47" s="1568"/>
      <c r="N47" s="1569"/>
      <c r="O47" s="194">
        <f t="shared" si="25"/>
        <v>271</v>
      </c>
      <c r="P47" s="988">
        <f t="shared" ref="P47" si="39">SUM(G47:N47)</f>
        <v>30</v>
      </c>
      <c r="Q47" s="196" t="str">
        <f t="shared" ref="Q47:Q58" si="40">IF(O47&gt;270,"Yes","NO")</f>
        <v>Yes</v>
      </c>
      <c r="R47" s="400"/>
      <c r="S47" s="742"/>
    </row>
    <row r="48" spans="1:28" ht="18.75" x14ac:dyDescent="0.3">
      <c r="A48" s="25" t="s">
        <v>98</v>
      </c>
      <c r="B48" s="151">
        <v>2500</v>
      </c>
      <c r="C48" s="71" t="s">
        <v>247</v>
      </c>
      <c r="D48" s="127" t="s">
        <v>12</v>
      </c>
      <c r="E48" s="47" t="s">
        <v>5</v>
      </c>
      <c r="F48" s="48" t="e">
        <f t="shared" si="24"/>
        <v>#N/A</v>
      </c>
      <c r="G48" s="1254">
        <v>1</v>
      </c>
      <c r="H48" s="1254">
        <v>11</v>
      </c>
      <c r="I48" s="1254">
        <v>13</v>
      </c>
      <c r="J48" s="1254">
        <v>3</v>
      </c>
      <c r="K48" s="1254">
        <v>1</v>
      </c>
      <c r="L48" s="1261"/>
      <c r="M48" s="1261"/>
      <c r="N48" s="1262">
        <v>1</v>
      </c>
      <c r="O48" s="198">
        <f t="shared" si="25"/>
        <v>268</v>
      </c>
      <c r="P48" s="222">
        <f t="shared" si="37"/>
        <v>30</v>
      </c>
      <c r="Q48" s="172" t="str">
        <f t="shared" si="40"/>
        <v>NO</v>
      </c>
      <c r="R48" s="402" t="str">
        <f>IF(Q48="yes","M","")</f>
        <v/>
      </c>
      <c r="S48" s="53" t="str">
        <f t="shared" si="38"/>
        <v xml:space="preserve"> </v>
      </c>
    </row>
    <row r="49" spans="1:28" ht="18.75" x14ac:dyDescent="0.3">
      <c r="A49" s="25" t="s">
        <v>98</v>
      </c>
      <c r="B49" s="186">
        <v>1144</v>
      </c>
      <c r="C49" s="116" t="s">
        <v>219</v>
      </c>
      <c r="D49" s="187" t="s">
        <v>10</v>
      </c>
      <c r="E49" s="100" t="s">
        <v>5</v>
      </c>
      <c r="F49" s="101" t="e">
        <f t="shared" si="24"/>
        <v>#N/A</v>
      </c>
      <c r="G49" s="1254">
        <v>4</v>
      </c>
      <c r="H49" s="1254">
        <v>8</v>
      </c>
      <c r="I49" s="1254">
        <v>10</v>
      </c>
      <c r="J49" s="1254">
        <v>3</v>
      </c>
      <c r="K49" s="1254">
        <v>3</v>
      </c>
      <c r="L49" s="1261">
        <v>2</v>
      </c>
      <c r="M49" s="1261"/>
      <c r="N49" s="1262"/>
      <c r="O49" s="198">
        <f t="shared" si="25"/>
        <v>267</v>
      </c>
      <c r="P49" s="572">
        <f>SUM(G49:N49)</f>
        <v>30</v>
      </c>
      <c r="Q49" s="70" t="str">
        <f>IF(O49&gt;284,"Yes","NO")</f>
        <v>NO</v>
      </c>
      <c r="R49" s="402"/>
      <c r="S49" s="53"/>
    </row>
    <row r="50" spans="1:28" ht="18.75" x14ac:dyDescent="0.3">
      <c r="A50" s="25" t="s">
        <v>98</v>
      </c>
      <c r="B50" s="186">
        <v>2361</v>
      </c>
      <c r="C50" s="116" t="s">
        <v>279</v>
      </c>
      <c r="D50" s="187" t="s">
        <v>12</v>
      </c>
      <c r="E50" s="100" t="s">
        <v>5</v>
      </c>
      <c r="F50" s="101" t="e">
        <f t="shared" si="24"/>
        <v>#N/A</v>
      </c>
      <c r="G50" s="1154">
        <v>3</v>
      </c>
      <c r="H50" s="1154">
        <v>6</v>
      </c>
      <c r="I50" s="1154">
        <v>11</v>
      </c>
      <c r="J50" s="1154">
        <v>8</v>
      </c>
      <c r="K50" s="1154">
        <v>2</v>
      </c>
      <c r="L50" s="1154"/>
      <c r="M50" s="1261"/>
      <c r="N50" s="1262"/>
      <c r="O50" s="198">
        <f t="shared" si="25"/>
        <v>267</v>
      </c>
      <c r="P50" s="572">
        <f>SUM(G50:N50)</f>
        <v>30</v>
      </c>
      <c r="Q50" s="70" t="str">
        <f>IF(O50&gt;284,"Yes","NO")</f>
        <v>NO</v>
      </c>
      <c r="R50" s="402"/>
      <c r="S50" s="53"/>
      <c r="U50" s="839"/>
      <c r="V50" s="839"/>
      <c r="W50" s="839"/>
      <c r="X50" s="839"/>
      <c r="Y50" s="839"/>
      <c r="Z50" s="839"/>
      <c r="AA50" s="839"/>
      <c r="AB50" s="839"/>
    </row>
    <row r="51" spans="1:28" ht="18.75" x14ac:dyDescent="0.3">
      <c r="A51" s="25" t="s">
        <v>98</v>
      </c>
      <c r="B51" s="151">
        <v>1207</v>
      </c>
      <c r="C51" s="71" t="s">
        <v>263</v>
      </c>
      <c r="D51" s="127" t="s">
        <v>12</v>
      </c>
      <c r="E51" s="47" t="s">
        <v>5</v>
      </c>
      <c r="F51" s="48" t="e">
        <f t="shared" si="24"/>
        <v>#N/A</v>
      </c>
      <c r="G51" s="1255">
        <v>1</v>
      </c>
      <c r="H51" s="1255">
        <v>1</v>
      </c>
      <c r="I51" s="1255">
        <v>14</v>
      </c>
      <c r="J51" s="1255">
        <v>7</v>
      </c>
      <c r="K51" s="1255">
        <v>7</v>
      </c>
      <c r="L51" s="1263"/>
      <c r="M51" s="1261"/>
      <c r="N51" s="1262"/>
      <c r="O51" s="198">
        <f t="shared" si="25"/>
        <v>251</v>
      </c>
      <c r="P51" s="222">
        <f t="shared" si="37"/>
        <v>30</v>
      </c>
      <c r="Q51" s="172" t="str">
        <f t="shared" si="40"/>
        <v>NO</v>
      </c>
      <c r="R51" s="402" t="str">
        <f t="shared" ref="R51:R52" si="41">IF(Q51="yes","M","")</f>
        <v/>
      </c>
      <c r="S51" s="53" t="str">
        <f t="shared" si="38"/>
        <v xml:space="preserve"> </v>
      </c>
    </row>
    <row r="52" spans="1:28" ht="18.75" x14ac:dyDescent="0.25">
      <c r="A52" s="25" t="s">
        <v>98</v>
      </c>
      <c r="B52" s="151">
        <v>2239</v>
      </c>
      <c r="C52" s="71" t="s">
        <v>212</v>
      </c>
      <c r="D52" s="127" t="s">
        <v>12</v>
      </c>
      <c r="E52" s="47" t="s">
        <v>5</v>
      </c>
      <c r="F52" s="48" t="e">
        <f t="shared" si="24"/>
        <v>#N/A</v>
      </c>
      <c r="G52" s="1271">
        <v>1</v>
      </c>
      <c r="H52" s="1271">
        <v>6</v>
      </c>
      <c r="I52" s="1271">
        <v>10</v>
      </c>
      <c r="J52" s="1271">
        <v>7</v>
      </c>
      <c r="K52" s="1271">
        <v>3</v>
      </c>
      <c r="L52" s="1272">
        <v>2</v>
      </c>
      <c r="M52" s="1272"/>
      <c r="N52" s="1533">
        <v>1</v>
      </c>
      <c r="O52" s="198">
        <f t="shared" si="25"/>
        <v>249</v>
      </c>
      <c r="P52" s="222">
        <f t="shared" si="37"/>
        <v>30</v>
      </c>
      <c r="Q52" s="172" t="str">
        <f t="shared" si="40"/>
        <v>NO</v>
      </c>
      <c r="R52" s="1074" t="str">
        <f t="shared" si="41"/>
        <v/>
      </c>
      <c r="S52" s="53" t="str">
        <f t="shared" si="38"/>
        <v xml:space="preserve"> </v>
      </c>
    </row>
    <row r="53" spans="1:28" ht="18.75" x14ac:dyDescent="0.3">
      <c r="A53" s="25" t="s">
        <v>98</v>
      </c>
      <c r="B53" s="186">
        <v>1984</v>
      </c>
      <c r="C53" s="116" t="s">
        <v>75</v>
      </c>
      <c r="D53" s="187" t="s">
        <v>12</v>
      </c>
      <c r="E53" s="100" t="s">
        <v>5</v>
      </c>
      <c r="F53" s="101" t="e">
        <f t="shared" si="24"/>
        <v>#N/A</v>
      </c>
      <c r="G53" s="1273">
        <v>1</v>
      </c>
      <c r="H53" s="1273">
        <v>1</v>
      </c>
      <c r="I53" s="1273">
        <v>12</v>
      </c>
      <c r="J53" s="1273">
        <v>7</v>
      </c>
      <c r="K53" s="1273">
        <v>5</v>
      </c>
      <c r="L53" s="1274">
        <v>3</v>
      </c>
      <c r="M53" s="1274">
        <v>1</v>
      </c>
      <c r="N53" s="1275"/>
      <c r="O53" s="198">
        <f t="shared" si="25"/>
        <v>242</v>
      </c>
      <c r="P53" s="222">
        <f t="shared" ref="P53" si="42">SUM(G53:N53)</f>
        <v>30</v>
      </c>
      <c r="Q53" s="172" t="str">
        <f t="shared" ref="Q53" si="43">IF(O53&gt;270,"Yes","NO")</f>
        <v>NO</v>
      </c>
      <c r="R53" s="1074"/>
      <c r="S53" s="53"/>
    </row>
    <row r="54" spans="1:28" ht="18.75" x14ac:dyDescent="0.3">
      <c r="A54" s="25" t="s">
        <v>98</v>
      </c>
      <c r="B54" s="186">
        <v>2233</v>
      </c>
      <c r="C54" s="116" t="s">
        <v>195</v>
      </c>
      <c r="D54" s="187" t="s">
        <v>12</v>
      </c>
      <c r="E54" s="100" t="s">
        <v>5</v>
      </c>
      <c r="F54" s="101" t="e">
        <f t="shared" si="24"/>
        <v>#N/A</v>
      </c>
      <c r="G54" s="1254">
        <v>0</v>
      </c>
      <c r="H54" s="1254">
        <v>4</v>
      </c>
      <c r="I54" s="1254">
        <v>8</v>
      </c>
      <c r="J54" s="1254">
        <v>11</v>
      </c>
      <c r="K54" s="1254">
        <v>4</v>
      </c>
      <c r="L54" s="1261">
        <v>1</v>
      </c>
      <c r="M54" s="1261"/>
      <c r="N54" s="1262">
        <v>2</v>
      </c>
      <c r="O54" s="198">
        <f t="shared" si="25"/>
        <v>234</v>
      </c>
      <c r="P54" s="222">
        <f t="shared" ref="P54" si="44">SUM(G54:N54)</f>
        <v>30</v>
      </c>
      <c r="Q54" s="172" t="str">
        <f t="shared" ref="Q54" si="45">IF(O54&gt;270,"Yes","NO")</f>
        <v>NO</v>
      </c>
      <c r="R54" s="1074"/>
      <c r="S54" s="53"/>
    </row>
    <row r="55" spans="1:28" ht="18.75" x14ac:dyDescent="0.3">
      <c r="A55" s="25" t="s">
        <v>98</v>
      </c>
      <c r="B55" s="186">
        <v>2518</v>
      </c>
      <c r="C55" s="116" t="s">
        <v>251</v>
      </c>
      <c r="D55" s="187" t="s">
        <v>12</v>
      </c>
      <c r="E55" s="100" t="s">
        <v>5</v>
      </c>
      <c r="F55" s="101" t="e">
        <f t="shared" si="24"/>
        <v>#N/A</v>
      </c>
      <c r="G55" s="1532">
        <v>0</v>
      </c>
      <c r="H55" s="1532">
        <v>5</v>
      </c>
      <c r="I55" s="1532">
        <v>7</v>
      </c>
      <c r="J55" s="1532">
        <v>5</v>
      </c>
      <c r="K55" s="1532">
        <v>5</v>
      </c>
      <c r="L55" s="1532">
        <v>4</v>
      </c>
      <c r="M55" s="1277">
        <v>1</v>
      </c>
      <c r="N55" s="1278">
        <v>3</v>
      </c>
      <c r="O55" s="198">
        <f t="shared" si="25"/>
        <v>217</v>
      </c>
      <c r="P55" s="222">
        <f t="shared" ref="P55" si="46">SUM(G55:N55)</f>
        <v>30</v>
      </c>
      <c r="Q55" s="172"/>
      <c r="R55" s="1074"/>
      <c r="S55" s="53"/>
    </row>
    <row r="56" spans="1:28" ht="18.75" x14ac:dyDescent="0.3">
      <c r="A56" s="25" t="s">
        <v>98</v>
      </c>
      <c r="B56" s="186">
        <v>569</v>
      </c>
      <c r="C56" s="116" t="s">
        <v>265</v>
      </c>
      <c r="D56" s="187" t="s">
        <v>12</v>
      </c>
      <c r="E56" s="100" t="s">
        <v>5</v>
      </c>
      <c r="F56" s="101" t="e">
        <f t="shared" si="24"/>
        <v>#N/A</v>
      </c>
      <c r="G56" s="1276"/>
      <c r="H56" s="1276">
        <v>5</v>
      </c>
      <c r="I56" s="1276">
        <v>7</v>
      </c>
      <c r="J56" s="1276">
        <v>7</v>
      </c>
      <c r="K56" s="1276">
        <v>4</v>
      </c>
      <c r="L56" s="1277">
        <v>2</v>
      </c>
      <c r="M56" s="1277">
        <v>1</v>
      </c>
      <c r="N56" s="1278">
        <v>4</v>
      </c>
      <c r="O56" s="198">
        <f t="shared" si="25"/>
        <v>214</v>
      </c>
      <c r="P56" s="222">
        <f t="shared" si="37"/>
        <v>30</v>
      </c>
      <c r="Q56" s="172" t="str">
        <f t="shared" si="40"/>
        <v>NO</v>
      </c>
      <c r="R56" s="402"/>
      <c r="S56" s="53"/>
    </row>
    <row r="57" spans="1:28" ht="18.75" x14ac:dyDescent="0.3">
      <c r="A57" s="25" t="s">
        <v>98</v>
      </c>
      <c r="B57" s="186">
        <v>2009</v>
      </c>
      <c r="C57" s="116" t="s">
        <v>234</v>
      </c>
      <c r="D57" s="187" t="s">
        <v>10</v>
      </c>
      <c r="E57" s="100" t="s">
        <v>5</v>
      </c>
      <c r="F57" s="101" t="e">
        <f t="shared" si="24"/>
        <v>#N/A</v>
      </c>
      <c r="G57" s="1276">
        <v>0</v>
      </c>
      <c r="H57" s="1276">
        <v>0</v>
      </c>
      <c r="I57" s="1276">
        <v>11</v>
      </c>
      <c r="J57" s="1276">
        <v>6</v>
      </c>
      <c r="K57" s="1276">
        <v>8</v>
      </c>
      <c r="L57" s="1277">
        <v>0</v>
      </c>
      <c r="M57" s="1277">
        <v>1</v>
      </c>
      <c r="N57" s="1278">
        <v>4</v>
      </c>
      <c r="O57" s="198">
        <f t="shared" si="25"/>
        <v>208</v>
      </c>
      <c r="P57" s="222">
        <f t="shared" si="37"/>
        <v>30</v>
      </c>
      <c r="Q57" s="172" t="str">
        <f t="shared" si="40"/>
        <v>NO</v>
      </c>
      <c r="R57" s="402"/>
      <c r="S57" s="53"/>
    </row>
    <row r="58" spans="1:28" ht="18.75" x14ac:dyDescent="0.3">
      <c r="A58" s="25" t="s">
        <v>98</v>
      </c>
      <c r="B58" s="186" t="s">
        <v>249</v>
      </c>
      <c r="C58" s="116" t="s">
        <v>252</v>
      </c>
      <c r="D58" s="187" t="s">
        <v>8</v>
      </c>
      <c r="E58" s="100" t="s">
        <v>5</v>
      </c>
      <c r="F58" s="101" t="e">
        <f t="shared" si="24"/>
        <v>#N/A</v>
      </c>
      <c r="G58" s="1276">
        <v>1</v>
      </c>
      <c r="H58" s="1276">
        <v>0</v>
      </c>
      <c r="I58" s="1276">
        <v>5</v>
      </c>
      <c r="J58" s="1276">
        <v>4</v>
      </c>
      <c r="K58" s="1276">
        <v>2</v>
      </c>
      <c r="L58" s="1277">
        <v>7</v>
      </c>
      <c r="M58" s="1277">
        <v>8</v>
      </c>
      <c r="N58" s="1278">
        <v>3</v>
      </c>
      <c r="O58" s="198">
        <f t="shared" si="25"/>
        <v>183</v>
      </c>
      <c r="P58" s="222">
        <f t="shared" si="37"/>
        <v>30</v>
      </c>
      <c r="Q58" s="172" t="str">
        <f t="shared" si="40"/>
        <v>NO</v>
      </c>
      <c r="R58" s="402"/>
      <c r="S58" s="53"/>
    </row>
    <row r="59" spans="1:28" ht="19.5" thickBot="1" x14ac:dyDescent="0.35">
      <c r="A59" s="25" t="s">
        <v>98</v>
      </c>
      <c r="B59" s="158">
        <v>1780</v>
      </c>
      <c r="C59" s="105" t="s">
        <v>246</v>
      </c>
      <c r="D59" s="109" t="s">
        <v>8</v>
      </c>
      <c r="E59" s="56" t="s">
        <v>5</v>
      </c>
      <c r="F59" s="57" t="e">
        <f t="shared" si="24"/>
        <v>#N/A</v>
      </c>
      <c r="G59" s="1535">
        <v>0</v>
      </c>
      <c r="H59" s="1535">
        <v>2</v>
      </c>
      <c r="I59" s="1535">
        <v>3</v>
      </c>
      <c r="J59" s="1535">
        <v>4</v>
      </c>
      <c r="K59" s="1535">
        <v>4</v>
      </c>
      <c r="L59" s="1536">
        <v>8</v>
      </c>
      <c r="M59" s="1536">
        <v>2</v>
      </c>
      <c r="N59" s="1537">
        <v>7</v>
      </c>
      <c r="O59" s="247">
        <f t="shared" si="25"/>
        <v>165</v>
      </c>
      <c r="P59" s="584">
        <f t="shared" ref="P59" si="47">SUM(G59:N59)</f>
        <v>30</v>
      </c>
      <c r="Q59" s="944" t="str">
        <f t="shared" ref="Q59" si="48">IF(O59&gt;270,"Yes","NO")</f>
        <v>NO</v>
      </c>
      <c r="R59" s="405"/>
      <c r="S59" s="110"/>
    </row>
    <row r="60" spans="1:28" ht="19.5" thickBot="1" x14ac:dyDescent="0.3">
      <c r="A60" s="3"/>
      <c r="B60" s="188">
        <f>COUNT(B8:B59)</f>
        <v>51</v>
      </c>
      <c r="C60" s="1650" t="s">
        <v>34</v>
      </c>
      <c r="D60" s="1656"/>
      <c r="E60" s="1652" t="s">
        <v>99</v>
      </c>
      <c r="F60" s="1653"/>
      <c r="G60" s="1653"/>
      <c r="H60" s="1653"/>
      <c r="I60" s="1653"/>
      <c r="J60" s="1653"/>
      <c r="K60" s="1653"/>
      <c r="L60" s="1653"/>
      <c r="M60" s="1653"/>
      <c r="N60" s="1653"/>
      <c r="O60" s="1653"/>
      <c r="P60" s="1654"/>
      <c r="Q60" s="3"/>
      <c r="R60" s="5"/>
      <c r="S60" s="3"/>
    </row>
    <row r="61" spans="1:28" ht="15.75" x14ac:dyDescent="0.25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  <c r="L61" s="8"/>
      <c r="M61" s="9"/>
      <c r="N61" s="8"/>
      <c r="O61" s="4"/>
      <c r="P61" s="251"/>
      <c r="Q61" s="3"/>
      <c r="R61" s="5"/>
      <c r="S61" s="3"/>
    </row>
    <row r="62" spans="1:28" ht="15.75" x14ac:dyDescent="0.25">
      <c r="A62" s="3" t="s">
        <v>100</v>
      </c>
      <c r="B62" s="4"/>
      <c r="C62" s="5"/>
      <c r="D62" s="5"/>
      <c r="E62" s="6"/>
      <c r="F62" s="5"/>
      <c r="G62" s="7"/>
      <c r="H62" s="7"/>
      <c r="I62" s="7"/>
      <c r="J62" s="7"/>
      <c r="K62" s="7"/>
      <c r="L62" s="8"/>
      <c r="M62" s="9"/>
      <c r="N62" s="8"/>
      <c r="O62" s="4"/>
      <c r="P62" s="10"/>
      <c r="Q62" s="3"/>
      <c r="R62" s="3"/>
      <c r="S62" s="3"/>
    </row>
  </sheetData>
  <sortState ref="B34:O46">
    <sortCondition descending="1" ref="O34:O46"/>
    <sortCondition descending="1" ref="G34:G46"/>
  </sortState>
  <mergeCells count="6">
    <mergeCell ref="A1:S1"/>
    <mergeCell ref="B3:R3"/>
    <mergeCell ref="C5:O5"/>
    <mergeCell ref="C60:D60"/>
    <mergeCell ref="E60:P60"/>
    <mergeCell ref="Q7:R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1500</vt:lpstr>
      <vt:lpstr>600</vt:lpstr>
      <vt:lpstr>SSA_SR</vt:lpstr>
      <vt:lpstr>PPA</vt:lpstr>
      <vt:lpstr>PPB</vt:lpstr>
      <vt:lpstr>Opticals</vt:lpstr>
      <vt:lpstr>Serv A</vt:lpstr>
      <vt:lpstr>Serv B</vt:lpstr>
      <vt:lpstr>Pocket</vt:lpstr>
      <vt:lpstr>PP II</vt:lpstr>
      <vt:lpstr>Carry</vt:lpstr>
      <vt:lpstr>Magnum</vt:lpstr>
      <vt:lpstr>RIFLES</vt:lpstr>
      <vt:lpstr>SP CF L25</vt:lpstr>
      <vt:lpstr>Air Pistol</vt:lpstr>
      <vt:lpstr>FP 50Y</vt:lpstr>
      <vt:lpstr>RFP MRF</vt:lpstr>
      <vt:lpstr>STD Pistol</vt:lpstr>
      <vt:lpstr>Sheet1</vt:lpstr>
      <vt:lpstr>'STD Pistol'!Print_Area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SAPSPA</dc:creator>
  <cp:lastModifiedBy>Ebrahim Allie</cp:lastModifiedBy>
  <cp:lastPrinted>2023-11-18T13:13:59Z</cp:lastPrinted>
  <dcterms:created xsi:type="dcterms:W3CDTF">2022-09-13T10:22:17Z</dcterms:created>
  <dcterms:modified xsi:type="dcterms:W3CDTF">2023-11-20T08:12:49Z</dcterms:modified>
</cp:coreProperties>
</file>